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filterPrivacy="1" showInkAnnotation="0" codeName="ThisWorkbook" defaultThemeVersion="124226"/>
  <xr:revisionPtr revIDLastSave="0" documentId="13_ncr:1_{C61814A8-CC89-4EA7-8C33-19C72EC0E7D0}" xr6:coauthVersionLast="47" xr6:coauthVersionMax="47" xr10:uidLastSave="{00000000-0000-0000-0000-000000000000}"/>
  <workbookProtection workbookAlgorithmName="SHA-512" workbookHashValue="dhGFd0xZGA5IYIPDkNZu6x8cYk+5CEXL2XC9fIxpEPBG6BkMAdHfGnj9TAriqlwzowBNSo46RWUIKlWbv+ictA==" workbookSaltValue="ckRRW1+kEEEkxLv57tUkSg==" workbookSpinCount="100000" lockStructure="1"/>
  <bookViews>
    <workbookView xWindow="13785" yWindow="-16320" windowWidth="29040" windowHeight="15840" tabRatio="928" firstSheet="1" activeTab="9" xr2:uid="{00000000-000D-0000-FFFF-FFFF00000000}"/>
  </bookViews>
  <sheets>
    <sheet name="Change Log" sheetId="42" state="hidden" r:id="rId1"/>
    <sheet name="Instructions" sheetId="26" r:id="rId2"/>
    <sheet name="Summary" sheetId="22" r:id="rId3"/>
    <sheet name="Scoring Checklist" sheetId="23" r:id="rId4"/>
    <sheet name="EUA Restrictions" sheetId="29" state="hidden" r:id="rId5"/>
    <sheet name="Notes" sheetId="24" r:id="rId6"/>
    <sheet name="22A1" sheetId="3" r:id="rId7"/>
    <sheet name="22A2" sheetId="45" r:id="rId8"/>
    <sheet name="22A3" sheetId="5" r:id="rId9"/>
    <sheet name="22A4" sheetId="36" r:id="rId10"/>
    <sheet name="22B1" sheetId="27" r:id="rId11"/>
    <sheet name="22B2" sheetId="46" r:id="rId12"/>
    <sheet name="22C1" sheetId="8" r:id="rId13"/>
    <sheet name="22C2a" sheetId="32" r:id="rId14"/>
    <sheet name="22C2b" sheetId="43" r:id="rId15"/>
    <sheet name="22C2c" sheetId="11" r:id="rId16"/>
    <sheet name="22C3" sheetId="34" r:id="rId17"/>
    <sheet name="22C4" sheetId="2" r:id="rId18"/>
    <sheet name="22C5" sheetId="9" r:id="rId19"/>
    <sheet name="22D1" sheetId="12" r:id="rId20"/>
    <sheet name="22D2" sheetId="35" r:id="rId21"/>
    <sheet name="22D3" sheetId="13" r:id="rId22"/>
    <sheet name="22E1" sheetId="37" r:id="rId23"/>
    <sheet name="22E2" sheetId="39" r:id="rId24"/>
    <sheet name="22E3" sheetId="16" r:id="rId25"/>
    <sheet name="22F1" sheetId="38" r:id="rId26"/>
    <sheet name="22F2" sheetId="47" r:id="rId27"/>
    <sheet name="22F3" sheetId="33" r:id="rId28"/>
    <sheet name="Tiebreakers" sheetId="49" state="hidden" r:id="rId29"/>
    <sheet name="20B2 - Rehab" sheetId="6" state="hidden" r:id="rId30"/>
    <sheet name="20F2" sheetId="40" state="hidden" r:id="rId31"/>
  </sheets>
  <externalReferences>
    <externalReference r:id="rId32"/>
    <externalReference r:id="rId33"/>
  </externalReferences>
  <definedNames>
    <definedName name="_xlnm._FilterDatabase" localSheetId="4" hidden="1">'EUA Restrictions'!#REF!</definedName>
    <definedName name="Applicant" localSheetId="29">'20B2 - Rehab'!$C$1:$M$26</definedName>
    <definedName name="Applicant" localSheetId="30">'20F2'!$D$1:$M$16</definedName>
    <definedName name="Applicant" localSheetId="6">'22A1'!$B$1:$L$20</definedName>
    <definedName name="Applicant" localSheetId="7">'22A2'!$B$1:$L$20</definedName>
    <definedName name="Applicant" localSheetId="8">'22A3'!$D$1:$M$39</definedName>
    <definedName name="Applicant" localSheetId="9">'22A4'!$D$1:$L$42</definedName>
    <definedName name="Applicant" localSheetId="10">'22B1'!$E$1:$N$28</definedName>
    <definedName name="Applicant" localSheetId="11">'22B2'!$E$1:$N$26</definedName>
    <definedName name="Applicant" localSheetId="12">'22C1'!$E$1:$N$36</definedName>
    <definedName name="Applicant" localSheetId="13">'22C2a'!$D$1:$M$16</definedName>
    <definedName name="Applicant" localSheetId="15">'22C2c'!$E$1:$N$27</definedName>
    <definedName name="Applicant" localSheetId="16">'22C3'!$D$1:$P$19</definedName>
    <definedName name="Applicant" localSheetId="17">'22C4'!$C$1:$L$29</definedName>
    <definedName name="Applicant" localSheetId="18">'22C5'!$D$1:$N$845</definedName>
    <definedName name="Applicant" localSheetId="19">'22D1'!$E$1:$N$35</definedName>
    <definedName name="Applicant" localSheetId="20">'22D2'!$E$1:$N$56</definedName>
    <definedName name="Applicant" localSheetId="21">'22D3'!$D$1:$M$38</definedName>
    <definedName name="Applicant" localSheetId="22">'22E1'!$C$1:$K$65</definedName>
    <definedName name="Applicant" localSheetId="23">'22E2'!$D$1:$M$13</definedName>
    <definedName name="Applicant" localSheetId="24">'22E3'!$D$1:$M$51</definedName>
    <definedName name="Applicant" localSheetId="25">'22F1'!$D$1:$M$47</definedName>
    <definedName name="Applicant" localSheetId="26">'22F2'!$D$1:$M$20</definedName>
    <definedName name="Applicant" localSheetId="27">'22F3'!$D$1:$M$19</definedName>
    <definedName name="Applicant" localSheetId="5">Notes!$B$1:$M$105</definedName>
    <definedName name="Applicant" localSheetId="3">'Scoring Checklist'!$E$2:$P$166</definedName>
    <definedName name="Applicant" localSheetId="2">Summary!$B$1:$M$78</definedName>
    <definedName name="Applicant" localSheetId="28">Tiebreakers!#REF!</definedName>
    <definedName name="_xlnm.Criteria" localSheetId="4">'EUA Restrictions'!#REF!</definedName>
    <definedName name="_xlnm.Extract" localSheetId="4">'EUA Restrictions'!#REF!</definedName>
    <definedName name="_xlnm.Print_Area" localSheetId="29">'20B2 - Rehab'!$C$1:$M$24,'20B2 - Rehab'!$P$1:$Z$24</definedName>
    <definedName name="_xlnm.Print_Area" localSheetId="30">'20F2'!$D$1:$M$18,'20F2'!$R$1:$AA$18</definedName>
    <definedName name="_xlnm.Print_Area" localSheetId="6">'22A1'!$B$1:$L$20,'22A1'!$O$1:$Y$20</definedName>
    <definedName name="_xlnm.Print_Area" localSheetId="7">'22A2'!$B$1:$L$20,'22A2'!$O$1:$Y$20</definedName>
    <definedName name="_xlnm.Print_Area" localSheetId="8">'22A3'!$D$1:$M$38,'22A3'!$Q$1:$Z$38</definedName>
    <definedName name="_xlnm.Print_Area" localSheetId="9">'22A4'!$D$1:$L$40,'22A4'!$P$1:$X$40</definedName>
    <definedName name="_xlnm.Print_Area" localSheetId="10">'22B1'!$E$1:$N$32,'22B1'!$S$1:$AB$32</definedName>
    <definedName name="_xlnm.Print_Area" localSheetId="11">'22B2'!$E$1:$N$28,'22B2'!$S$1:$AB$28</definedName>
    <definedName name="_xlnm.Print_Area" localSheetId="12">'22C1'!$E$1:$N$28,'22C1'!$S$1:$AB$28</definedName>
    <definedName name="_xlnm.Print_Area" localSheetId="13">'22C2a'!$D$1:$M$21,'22C2a'!$Q$1:$Z$21</definedName>
    <definedName name="_xlnm.Print_Area" localSheetId="14">'22C2b'!$D$1:$M$29,'22C2b'!$Q$1:$Z$29</definedName>
    <definedName name="_xlnm.Print_Area" localSheetId="15">'22C2c'!$E$1:$N$35,'22C2c'!$S$1:$AB$35</definedName>
    <definedName name="_xlnm.Print_Area" localSheetId="16">'22C3'!$D$1:$P$22,'22C3'!$T$1:$AF$22</definedName>
    <definedName name="_xlnm.Print_Area" localSheetId="17">'22C4'!$C$1:$L$29,'22C4'!$P$1:$Z$29</definedName>
    <definedName name="_xlnm.Print_Area" localSheetId="18">'22C5'!$D$1:$N$65,'22C5'!$AD$1:$AN$65</definedName>
    <definedName name="_xlnm.Print_Area" localSheetId="19">'22D1'!$E$1:$N$23,'22D1'!$S$1:$AB$23</definedName>
    <definedName name="_xlnm.Print_Area" localSheetId="20">'22D2'!$E$1:$N$44,'22D2'!$S$1:$AB$44</definedName>
    <definedName name="_xlnm.Print_Area" localSheetId="21">'22D3'!$D$1:$M$22,'22D3'!$Q$1:$Z$22</definedName>
    <definedName name="_xlnm.Print_Area" localSheetId="22">'22E1'!$C$1:$K$69,'22E1'!$P$1:$X$69</definedName>
    <definedName name="_xlnm.Print_Area" localSheetId="23">'22E2'!$C$1:$M$19,'22E2'!$Q$1:$Z$19</definedName>
    <definedName name="_xlnm.Print_Area" localSheetId="24">'22E3'!$D$1:$M$48,'22E3'!$Q$1:$Z$48</definedName>
    <definedName name="_xlnm.Print_Area" localSheetId="25">'22F1'!$C$1:$M$56,'22F1'!$R$1:$AA$56</definedName>
    <definedName name="_xlnm.Print_Area" localSheetId="26">'22F2'!$D$1:$M$57,'22F2'!$R$1:$AA$24</definedName>
    <definedName name="_xlnm.Print_Area" localSheetId="27">'22F3'!$C$1:$M$19,'22F3'!$Q$1:$Z$19</definedName>
    <definedName name="_xlnm.Print_Area" localSheetId="4">'EUA Restrictions'!$B$1:$N$248</definedName>
    <definedName name="_xlnm.Print_Area" localSheetId="1">Instructions!$B$1:$N$46</definedName>
    <definedName name="_xlnm.Print_Area" localSheetId="5">Notes!$B$1:$M$106,Notes!$P$1:$AA$106</definedName>
    <definedName name="_xlnm.Print_Area" localSheetId="3">'Scoring Checklist'!$E$1:$P$171,'Scoring Checklist'!$V$1:$AG$171</definedName>
    <definedName name="_xlnm.Print_Area" localSheetId="2">Summary!$B$1:$M$78,Summary!$P$1:$AD$78</definedName>
    <definedName name="_xlnm.Print_Area" localSheetId="28">Tiebreakers!$G$1:$O$25</definedName>
    <definedName name="UD_Checklist" localSheetId="30">'[1]15A1'!$O$22:$O$26,'[1]15A1'!$O$28:$O$34,'[1]15A1'!$O$36:$O$47,'[1]15A1'!$O$49,'[1]15A1'!$O$51:$O$57,'[1]15A1'!$O$59:$O$63,'[1]15A1'!$O$65:$O$67,'[1]15A1'!$O$69:$O$71,'[1]15A1'!$O$73:$O$76,'[1]15A1'!$O$78:$O$80,'[1]15A1'!$O$82,'[1]15A1'!$O$84:$O$85,'[1]15A1'!$O$87:$O$91,'[1]15A1'!$O$93:$O$95,'[1]15A1'!$O$97:$O$98,'[1]15A1'!$O$100:$O$108,'[1]15A1'!$O$110:$O$112,'[1]15A1'!$O$114:$O$117,'[1]15A1'!$O$119</definedName>
    <definedName name="UD_Checklist" localSheetId="7">'22A2'!#REF!,'22A2'!#REF!,'22A2'!#REF!,'22A2'!#REF!,'22A2'!#REF!,'22A2'!#REF!,'22A2'!#REF!,'22A2'!#REF!,'22A2'!#REF!,'22A2'!#REF!,'22A2'!#REF!,'22A2'!#REF!,'22A2'!#REF!,'22A2'!#REF!,'22A2'!#REF!,'22A2'!#REF!,'22A2'!#REF!,'22A2'!#REF!,'22A2'!#REF!</definedName>
    <definedName name="UD_Checklist" localSheetId="9">'[2]15A1'!$O$22:$O$26,'[2]15A1'!$O$28:$O$34,'[2]15A1'!$O$36:$O$47,'[2]15A1'!$O$49,'[2]15A1'!$O$51:$O$57,'[2]15A1'!$O$59:$O$63,'[2]15A1'!$O$65:$O$67,'[2]15A1'!$O$69:$O$71,'[2]15A1'!$O$73:$O$76,'[2]15A1'!$O$78:$O$80,'[2]15A1'!$O$82,'[2]15A1'!$O$84:$O$85,'[2]15A1'!$O$87:$O$91,'[2]15A1'!$O$93:$O$95,'[2]15A1'!$O$97:$O$98,'[2]15A1'!$O$100:$O$108,'[2]15A1'!$O$110:$O$112,'[2]15A1'!$O$114:$O$117,'[2]15A1'!$O$119</definedName>
    <definedName name="UD_Checklist" localSheetId="22">'[1]15A1'!$O$22:$O$26,'[1]15A1'!$O$28:$O$34,'[1]15A1'!$O$36:$O$47,'[1]15A1'!$O$49,'[1]15A1'!$O$51:$O$57,'[1]15A1'!$O$59:$O$63,'[1]15A1'!$O$65:$O$67,'[1]15A1'!$O$69:$O$71,'[1]15A1'!$O$73:$O$76,'[1]15A1'!$O$78:$O$80,'[1]15A1'!$O$82,'[1]15A1'!$O$84:$O$85,'[1]15A1'!$O$87:$O$91,'[1]15A1'!$O$93:$O$95,'[1]15A1'!$O$97:$O$98,'[1]15A1'!$O$100:$O$108,'[1]15A1'!$O$110:$O$112,'[1]15A1'!$O$114:$O$117,'[1]15A1'!$O$119</definedName>
    <definedName name="UD_Checklist" localSheetId="23">'22A1'!#REF!,'22A1'!#REF!,'22A1'!#REF!,'22A1'!#REF!,'22A1'!#REF!,'22A1'!#REF!,'22A1'!#REF!,'22A1'!#REF!,'22A1'!#REF!,'22A1'!#REF!,'22A1'!#REF!,'22A1'!#REF!,'22A1'!#REF!,'22A1'!#REF!,'22A1'!#REF!,'22A1'!#REF!,'22A1'!#REF!,'22A1'!#REF!,'22A1'!#REF!</definedName>
    <definedName name="UD_Checklist" localSheetId="25">'[1]15A1'!$O$22:$O$26,'[1]15A1'!$O$28:$O$34,'[1]15A1'!$O$36:$O$47,'[1]15A1'!$O$49,'[1]15A1'!$O$51:$O$57,'[1]15A1'!$O$59:$O$63,'[1]15A1'!$O$65:$O$67,'[1]15A1'!$O$69:$O$71,'[1]15A1'!$O$73:$O$76,'[1]15A1'!$O$78:$O$80,'[1]15A1'!$O$82,'[1]15A1'!$O$84:$O$85,'[1]15A1'!$O$87:$O$91,'[1]15A1'!$O$93:$O$95,'[1]15A1'!$O$97:$O$98,'[1]15A1'!$O$100:$O$108,'[1]15A1'!$O$110:$O$112,'[1]15A1'!$O$114:$O$117,'[1]15A1'!$O$119</definedName>
    <definedName name="UD_Checklist" localSheetId="26">'[1]15A1'!$O$22:$O$26,'[1]15A1'!$O$28:$O$34,'[1]15A1'!$O$36:$O$47,'[1]15A1'!$O$49,'[1]15A1'!$O$51:$O$57,'[1]15A1'!$O$59:$O$63,'[1]15A1'!$O$65:$O$67,'[1]15A1'!$O$69:$O$71,'[1]15A1'!$O$73:$O$76,'[1]15A1'!$O$78:$O$80,'[1]15A1'!$O$82,'[1]15A1'!$O$84:$O$85,'[1]15A1'!$O$87:$O$91,'[1]15A1'!$O$93:$O$95,'[1]15A1'!$O$97:$O$98,'[1]15A1'!$O$100:$O$108,'[1]15A1'!$O$110:$O$112,'[1]15A1'!$O$114:$O$117,'[1]15A1'!$O$119</definedName>
    <definedName name="UD_Checklist">'22A1'!#REF!,'22A1'!#REF!,'22A1'!#REF!,'22A1'!#REF!,'22A1'!#REF!,'22A1'!#REF!,'22A1'!#REF!,'22A1'!#REF!,'22A1'!#REF!,'22A1'!#REF!,'22A1'!#REF!,'22A1'!#REF!,'22A1'!#REF!,'22A1'!#REF!,'22A1'!#REF!,'22A1'!#REF!,'22A1'!#REF!,'22A1'!#REF!,'22A1'!#REF!</definedName>
    <definedName name="UD_Checklist2" localSheetId="7">'22A2'!#REF!,'22A2'!#REF!,'22A2'!#REF!,'22A2'!#REF!,'22A2'!#REF!,'22A2'!#REF!,'22A2'!#REF!,'22A2'!#REF!,'22A2'!#REF!,'22A2'!#REF!,'22A2'!#REF!,'22A2'!#REF!,'22A2'!#REF!,'22A2'!#REF!,'22A2'!#REF!,'22A2'!#REF!,'22A2'!#REF!,'22A2'!#REF!,'22A2'!#REF!</definedName>
    <definedName name="UD_Checklist2">'22A1'!#REF!,'22A1'!#REF!,'22A1'!#REF!,'22A1'!#REF!,'22A1'!#REF!,'22A1'!#REF!,'22A1'!#REF!,'22A1'!#REF!,'22A1'!#REF!,'22A1'!#REF!,'22A1'!#REF!,'22A1'!#REF!,'22A1'!#REF!,'22A1'!#REF!,'22A1'!#REF!,'22A1'!#REF!,'22A1'!#REF!,'22A1'!#REF!,'22A1'!#REF!</definedName>
    <definedName name="UD_Code" localSheetId="30">'[1]15A1'!$P$22:$P$26,'[1]15A1'!$P$28:$P$34,'[1]15A1'!$P$36:$P$47,'[1]15A1'!$P$49,'[1]15A1'!$P$51:$P$57,'[1]15A1'!$P$59:$P$63,'[1]15A1'!$P$65:$P$67,'[1]15A1'!$P$69:$P$71,'[1]15A1'!$P$73:$P$76,'[1]15A1'!$P$78:$P$80,'[1]15A1'!$P$82,'[1]15A1'!$P$84:$P$85,'[1]15A1'!$P$87:$P$91,'[1]15A1'!$P$93:$P$95,'[1]15A1'!$P$97:$P$98,'[1]15A1'!$P$100:$P$108,'[1]15A1'!$P$110:$P$112,'[1]15A1'!$P$114:$P$117,'[1]15A1'!$P$119</definedName>
    <definedName name="UD_Code" localSheetId="7">'22A2'!#REF!,'22A2'!#REF!,'22A2'!#REF!,'22A2'!#REF!,'22A2'!#REF!,'22A2'!#REF!,'22A2'!#REF!,'22A2'!#REF!,'22A2'!#REF!,'22A2'!#REF!,'22A2'!#REF!,'22A2'!#REF!,'22A2'!#REF!,'22A2'!#REF!,'22A2'!#REF!,'22A2'!#REF!,'22A2'!#REF!,'22A2'!#REF!,'22A2'!#REF!</definedName>
    <definedName name="UD_Code" localSheetId="9">'[2]15A1'!$P$22:$P$26,'[2]15A1'!$P$28:$P$34,'[2]15A1'!$P$36:$P$47,'[2]15A1'!$P$49,'[2]15A1'!$P$51:$P$57,'[2]15A1'!$P$59:$P$63,'[2]15A1'!$P$65:$P$67,'[2]15A1'!$P$69:$P$71,'[2]15A1'!$P$73:$P$76,'[2]15A1'!$P$78:$P$80,'[2]15A1'!$P$82,'[2]15A1'!$P$84:$P$85,'[2]15A1'!$P$87:$P$91,'[2]15A1'!$P$93:$P$95,'[2]15A1'!$P$97:$P$98,'[2]15A1'!$P$100:$P$108,'[2]15A1'!$P$110:$P$112,'[2]15A1'!$P$114:$P$117,'[2]15A1'!$P$119</definedName>
    <definedName name="UD_Code" localSheetId="22">'[1]15A1'!$P$22:$P$26,'[1]15A1'!$P$28:$P$34,'[1]15A1'!$P$36:$P$47,'[1]15A1'!$P$49,'[1]15A1'!$P$51:$P$57,'[1]15A1'!$P$59:$P$63,'[1]15A1'!$P$65:$P$67,'[1]15A1'!$P$69:$P$71,'[1]15A1'!$P$73:$P$76,'[1]15A1'!$P$78:$P$80,'[1]15A1'!$P$82,'[1]15A1'!$P$84:$P$85,'[1]15A1'!$P$87:$P$91,'[1]15A1'!$P$93:$P$95,'[1]15A1'!$P$97:$P$98,'[1]15A1'!$P$100:$P$108,'[1]15A1'!$P$110:$P$112,'[1]15A1'!$P$114:$P$117,'[1]15A1'!$P$119</definedName>
    <definedName name="UD_Code" localSheetId="23">'22A1'!#REF!,'22A1'!#REF!,'22A1'!#REF!,'22A1'!#REF!,'22A1'!#REF!,'22A1'!#REF!,'22A1'!#REF!,'22A1'!#REF!,'22A1'!#REF!,'22A1'!#REF!,'22A1'!#REF!,'22A1'!#REF!,'22A1'!#REF!,'22A1'!#REF!,'22A1'!#REF!,'22A1'!#REF!,'22A1'!#REF!,'22A1'!#REF!,'22A1'!#REF!</definedName>
    <definedName name="UD_Code" localSheetId="25">'[1]15A1'!$P$22:$P$26,'[1]15A1'!$P$28:$P$34,'[1]15A1'!$P$36:$P$47,'[1]15A1'!$P$49,'[1]15A1'!$P$51:$P$57,'[1]15A1'!$P$59:$P$63,'[1]15A1'!$P$65:$P$67,'[1]15A1'!$P$69:$P$71,'[1]15A1'!$P$73:$P$76,'[1]15A1'!$P$78:$P$80,'[1]15A1'!$P$82,'[1]15A1'!$P$84:$P$85,'[1]15A1'!$P$87:$P$91,'[1]15A1'!$P$93:$P$95,'[1]15A1'!$P$97:$P$98,'[1]15A1'!$P$100:$P$108,'[1]15A1'!$P$110:$P$112,'[1]15A1'!$P$114:$P$117,'[1]15A1'!$P$119</definedName>
    <definedName name="UD_Code" localSheetId="26">'[1]15A1'!$P$22:$P$26,'[1]15A1'!$P$28:$P$34,'[1]15A1'!$P$36:$P$47,'[1]15A1'!$P$49,'[1]15A1'!$P$51:$P$57,'[1]15A1'!$P$59:$P$63,'[1]15A1'!$P$65:$P$67,'[1]15A1'!$P$69:$P$71,'[1]15A1'!$P$73:$P$76,'[1]15A1'!$P$78:$P$80,'[1]15A1'!$P$82,'[1]15A1'!$P$84:$P$85,'[1]15A1'!$P$87:$P$91,'[1]15A1'!$P$93:$P$95,'[1]15A1'!$P$97:$P$98,'[1]15A1'!$P$100:$P$108,'[1]15A1'!$P$110:$P$112,'[1]15A1'!$P$114:$P$117,'[1]15A1'!$P$119</definedName>
    <definedName name="UD_Code">'22A1'!#REF!,'22A1'!#REF!,'22A1'!#REF!,'22A1'!#REF!,'22A1'!#REF!,'22A1'!#REF!,'22A1'!#REF!,'22A1'!#REF!,'22A1'!#REF!,'22A1'!#REF!,'22A1'!#REF!,'22A1'!#REF!,'22A1'!#REF!,'22A1'!#REF!,'22A1'!#REF!,'22A1'!#REF!,'22A1'!#REF!,'22A1'!#REF!,'22A1'!#REF!</definedName>
    <definedName name="UD_Rule" localSheetId="30">'[1]15A1'!$Q$22:$X$26,'[1]15A1'!$Q$28:$X$34,'[1]15A1'!$Q$36:$X$47,'[1]15A1'!$Q$49,'[1]15A1'!$Q$51:$X$57,'[1]15A1'!$Q$59:$X$63,'[1]15A1'!$Q$65:$X$67,'[1]15A1'!$Q$69:$X$71,'[1]15A1'!$Q$73:$X$76,'[1]15A1'!$Q$78:$X$80,'[1]15A1'!$Q$82,'[1]15A1'!$Q$84:$X$86,'[1]15A1'!$Q$86,'[1]15A1'!$Q$87:$X$91,'[1]15A1'!$Q$86,'[1]15A1'!$Q$93:$X$95,'[1]15A1'!$Q$97:$X$98,'[1]15A1'!$Q$100:$X$108,'[1]15A1'!$Q$110:$X$112</definedName>
    <definedName name="UD_Rule" localSheetId="7">'22A2'!#REF!,'22A2'!#REF!,'22A2'!#REF!,'22A2'!#REF!,'22A2'!#REF!,'22A2'!#REF!,'22A2'!#REF!,'22A2'!#REF!,'22A2'!#REF!,'22A2'!#REF!,'22A2'!#REF!,'22A2'!#REF!,'22A2'!#REF!,'22A2'!#REF!,'22A2'!#REF!,'22A2'!#REF!,'22A2'!#REF!,'22A2'!#REF!,'22A2'!#REF!</definedName>
    <definedName name="UD_Rule" localSheetId="9">'[2]15A1'!$Q$22:$X$26,'[2]15A1'!$Q$28:$X$34,'[2]15A1'!$Q$36:$X$47,'[2]15A1'!$Q$49,'[2]15A1'!$Q$51:$X$57,'[2]15A1'!$Q$59:$X$63,'[2]15A1'!$Q$65:$X$67,'[2]15A1'!$Q$69:$X$71,'[2]15A1'!$Q$73:$X$76,'[2]15A1'!$Q$78:$X$80,'[2]15A1'!$Q$82,'[2]15A1'!$Q$84:$X$86,'[2]15A1'!$Q$86,'[2]15A1'!$Q$87:$X$91,'[2]15A1'!$Q$86,'[2]15A1'!$Q$93:$X$95,'[2]15A1'!$Q$97:$X$98,'[2]15A1'!$Q$100:$X$108,'[2]15A1'!$Q$110:$X$112</definedName>
    <definedName name="UD_Rule" localSheetId="22">'[1]15A1'!$Q$22:$X$26,'[1]15A1'!$Q$28:$X$34,'[1]15A1'!$Q$36:$X$47,'[1]15A1'!$Q$49,'[1]15A1'!$Q$51:$X$57,'[1]15A1'!$Q$59:$X$63,'[1]15A1'!$Q$65:$X$67,'[1]15A1'!$Q$69:$X$71,'[1]15A1'!$Q$73:$X$76,'[1]15A1'!$Q$78:$X$80,'[1]15A1'!$Q$82,'[1]15A1'!$Q$84:$X$86,'[1]15A1'!$Q$86,'[1]15A1'!$Q$87:$X$91,'[1]15A1'!$Q$86,'[1]15A1'!$Q$93:$X$95,'[1]15A1'!$Q$97:$X$98,'[1]15A1'!$Q$100:$X$108,'[1]15A1'!$Q$110:$X$112</definedName>
    <definedName name="UD_Rule" localSheetId="23">'22A1'!#REF!,'22A1'!#REF!,'22A1'!#REF!,'22A1'!#REF!,'22A1'!#REF!,'22A1'!#REF!,'22A1'!#REF!,'22A1'!#REF!,'22A1'!#REF!,'22A1'!#REF!,'22A1'!#REF!,'22A1'!#REF!,'22A1'!#REF!,'22A1'!#REF!,'22A1'!#REF!,'22A1'!#REF!,'22A1'!#REF!,'22A1'!#REF!,'22A1'!#REF!</definedName>
    <definedName name="UD_Rule" localSheetId="25">'[1]15A1'!$Q$22:$X$26,'[1]15A1'!$Q$28:$X$34,'[1]15A1'!$Q$36:$X$47,'[1]15A1'!$Q$49,'[1]15A1'!$Q$51:$X$57,'[1]15A1'!$Q$59:$X$63,'[1]15A1'!$Q$65:$X$67,'[1]15A1'!$Q$69:$X$71,'[1]15A1'!$Q$73:$X$76,'[1]15A1'!$Q$78:$X$80,'[1]15A1'!$Q$82,'[1]15A1'!$Q$84:$X$86,'[1]15A1'!$Q$86,'[1]15A1'!$Q$87:$X$91,'[1]15A1'!$Q$86,'[1]15A1'!$Q$93:$X$95,'[1]15A1'!$Q$97:$X$98,'[1]15A1'!$Q$100:$X$108,'[1]15A1'!$Q$110:$X$112</definedName>
    <definedName name="UD_Rule" localSheetId="26">'[1]15A1'!$Q$22:$X$26,'[1]15A1'!$Q$28:$X$34,'[1]15A1'!$Q$36:$X$47,'[1]15A1'!$Q$49,'[1]15A1'!$Q$51:$X$57,'[1]15A1'!$Q$59:$X$63,'[1]15A1'!$Q$65:$X$67,'[1]15A1'!$Q$69:$X$71,'[1]15A1'!$Q$73:$X$76,'[1]15A1'!$Q$78:$X$80,'[1]15A1'!$Q$82,'[1]15A1'!$Q$84:$X$86,'[1]15A1'!$Q$86,'[1]15A1'!$Q$87:$X$91,'[1]15A1'!$Q$86,'[1]15A1'!$Q$93:$X$95,'[1]15A1'!$Q$97:$X$98,'[1]15A1'!$Q$100:$X$108,'[1]15A1'!$Q$110:$X$112</definedName>
    <definedName name="UD_Rule">'22A1'!#REF!,'22A1'!#REF!,'22A1'!#REF!,'22A1'!#REF!,'22A1'!#REF!,'22A1'!#REF!,'22A1'!#REF!,'22A1'!#REF!,'22A1'!#REF!,'22A1'!#REF!,'22A1'!#REF!,'22A1'!#REF!,'22A1'!#REF!,'22A1'!#REF!,'22A1'!#REF!,'22A1'!#REF!,'22A1'!#REF!,'22A1'!#REF!,'22A1'!#REF!</definedName>
    <definedName name="Underwriting" localSheetId="29">'20B2 - Rehab'!$P$1:$Z$26</definedName>
    <definedName name="Underwriting" localSheetId="30">'20F2'!$R$1:$AA$16</definedName>
    <definedName name="Underwriting" localSheetId="6">'22A1'!$O$1:$Y$20</definedName>
    <definedName name="Underwriting" localSheetId="7">'22A2'!$O$1:$Y$20</definedName>
    <definedName name="Underwriting" localSheetId="8">'22A3'!$Q$1:$Z$39</definedName>
    <definedName name="Underwriting" localSheetId="9">'22A4'!$P$1:$X$42</definedName>
    <definedName name="Underwriting" localSheetId="10">'22B1'!$S$1:$AB$28</definedName>
    <definedName name="Underwriting" localSheetId="11">'22B2'!$S$1:$AB$26</definedName>
    <definedName name="Underwriting" localSheetId="12">'22C1'!$S$1:$AB$36</definedName>
    <definedName name="Underwriting" localSheetId="13">'22C2a'!$Q$1:$Z$16</definedName>
    <definedName name="Underwriting" localSheetId="15">'22C2c'!$S$1:$AB$27</definedName>
    <definedName name="Underwriting" localSheetId="16">'22C3'!$T$1:$AC$19</definedName>
    <definedName name="Underwriting" localSheetId="17">'22C4'!$P$1:$Y$29</definedName>
    <definedName name="Underwriting" localSheetId="18">'22C5'!$AD$1:$AN$845</definedName>
    <definedName name="Underwriting" localSheetId="19">'22D1'!$S$1:$AB$35</definedName>
    <definedName name="Underwriting" localSheetId="20">'22D2'!$S$1:$AB$56</definedName>
    <definedName name="Underwriting" localSheetId="21">'22D3'!$Q$1:$Z$38</definedName>
    <definedName name="Underwriting" localSheetId="22">'22E1'!$P$1:$AA$65</definedName>
    <definedName name="Underwriting" localSheetId="23">'22E2'!$Q$1:$Z$13</definedName>
    <definedName name="Underwriting" localSheetId="24">'22E3'!$Q$1:$Z$51</definedName>
    <definedName name="Underwriting" localSheetId="25">'22F1'!$R$1:$AA$47</definedName>
    <definedName name="Underwriting" localSheetId="26">'22F2'!$R$1:$AA$20</definedName>
    <definedName name="Underwriting" localSheetId="27">'22F3'!$Q$1:$Z$19</definedName>
    <definedName name="Underwriting" localSheetId="4">'EUA Restrictions'!$B$1:$N$62</definedName>
    <definedName name="Underwriting" localSheetId="5">Notes!$P$1:$AA$105</definedName>
    <definedName name="Underwriting" localSheetId="3">'Scoring Checklist'!#REF!</definedName>
    <definedName name="Underwriting" localSheetId="2">Summary!$P$1:$AC$78</definedName>
    <definedName name="Underwriting" localSheetId="28">Tiebreakers!$G$1:$O$22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124" i="23" l="1"/>
  <c r="C124" i="23"/>
  <c r="C121" i="23"/>
  <c r="H37" i="38"/>
  <c r="I56" i="47"/>
  <c r="T159" i="23"/>
  <c r="C159" i="23"/>
  <c r="I10" i="11" l="1"/>
  <c r="C52" i="23"/>
  <c r="T52" i="23"/>
  <c r="C54" i="23"/>
  <c r="T54" i="23"/>
  <c r="E15" i="11"/>
  <c r="Q14" i="32"/>
  <c r="D14" i="32"/>
  <c r="Q18" i="13"/>
  <c r="D18" i="13"/>
  <c r="T121" i="23"/>
  <c r="T118" i="23"/>
  <c r="T115" i="23"/>
  <c r="T112" i="23"/>
  <c r="C118" i="23"/>
  <c r="C115" i="23"/>
  <c r="C112" i="23"/>
  <c r="S25" i="35"/>
  <c r="E25" i="35"/>
  <c r="C98" i="23"/>
  <c r="T98" i="23"/>
  <c r="T22" i="34"/>
  <c r="D22" i="34"/>
  <c r="L17" i="34" s="1"/>
  <c r="L34" i="11"/>
  <c r="L30" i="43"/>
  <c r="Y96" i="43"/>
  <c r="Y80" i="43"/>
  <c r="Y64" i="43"/>
  <c r="Y38" i="43"/>
  <c r="Y30" i="43"/>
  <c r="Y47" i="43"/>
  <c r="Y55" i="43"/>
  <c r="Y72" i="43"/>
  <c r="Y88" i="43"/>
  <c r="L96" i="43"/>
  <c r="L80" i="43"/>
  <c r="L72" i="43"/>
  <c r="L64" i="43"/>
  <c r="L55" i="43"/>
  <c r="L47" i="43"/>
  <c r="L38" i="43"/>
  <c r="L88" i="43"/>
  <c r="U10" i="32"/>
  <c r="L39" i="36"/>
  <c r="H10" i="34" l="1"/>
  <c r="E16" i="11"/>
  <c r="S46" i="38" l="1"/>
  <c r="S45" i="38"/>
  <c r="C40" i="37" l="1"/>
  <c r="T140" i="23"/>
  <c r="C140" i="23"/>
  <c r="T157" i="23"/>
  <c r="T92" i="23"/>
  <c r="T89" i="23"/>
  <c r="T81" i="23"/>
  <c r="C81" i="23"/>
  <c r="C92" i="23"/>
  <c r="C89" i="23"/>
  <c r="D54" i="9" l="1"/>
  <c r="F55" i="9"/>
  <c r="G56" i="9"/>
  <c r="E58" i="9"/>
  <c r="E59" i="9"/>
  <c r="E60" i="9"/>
  <c r="E61" i="9"/>
  <c r="E62" i="9"/>
  <c r="E63" i="9"/>
  <c r="E64" i="9"/>
  <c r="W37" i="38"/>
  <c r="I37" i="38"/>
  <c r="P58" i="9"/>
  <c r="S54" i="38" l="1"/>
  <c r="S55" i="38"/>
  <c r="AD19" i="34" l="1"/>
  <c r="AC17" i="34"/>
  <c r="AE17" i="34"/>
  <c r="AB17" i="34"/>
  <c r="X10" i="34" s="1"/>
  <c r="M17" i="34"/>
  <c r="O17" i="34"/>
  <c r="N19" i="34"/>
  <c r="AH8" i="9" l="1"/>
  <c r="AH6" i="9"/>
  <c r="H10" i="32"/>
  <c r="W10" i="11"/>
  <c r="D17" i="47" l="1"/>
  <c r="R17" i="47"/>
  <c r="R21" i="47" l="1"/>
  <c r="V10" i="47" s="1"/>
  <c r="J5" i="49" l="1"/>
  <c r="U5" i="33"/>
  <c r="H5" i="33"/>
  <c r="V5" i="47"/>
  <c r="H5" i="47"/>
  <c r="V5" i="38"/>
  <c r="H5" i="38"/>
  <c r="U5" i="16"/>
  <c r="H5" i="16"/>
  <c r="U5" i="39"/>
  <c r="H5" i="39"/>
  <c r="S5" i="37"/>
  <c r="F5" i="37"/>
  <c r="U5" i="13"/>
  <c r="H5" i="13"/>
  <c r="W5" i="35"/>
  <c r="I5" i="35"/>
  <c r="W5" i="12"/>
  <c r="I5" i="12"/>
  <c r="X5" i="34"/>
  <c r="H5" i="34"/>
  <c r="W5" i="11"/>
  <c r="I5" i="11"/>
  <c r="U5" i="43"/>
  <c r="H5" i="43"/>
  <c r="U5" i="32"/>
  <c r="H5" i="32"/>
  <c r="W5" i="8"/>
  <c r="I5" i="8"/>
  <c r="W5" i="46"/>
  <c r="I5" i="46"/>
  <c r="W5" i="27"/>
  <c r="I5" i="27"/>
  <c r="S5" i="36"/>
  <c r="G5" i="36"/>
  <c r="U5" i="5"/>
  <c r="H5" i="5"/>
  <c r="T5" i="45"/>
  <c r="G5" i="45"/>
  <c r="T5" i="3"/>
  <c r="G5" i="3"/>
  <c r="T5" i="2"/>
  <c r="G5" i="2"/>
  <c r="AH5" i="9"/>
  <c r="H5" i="9"/>
  <c r="S58" i="37"/>
  <c r="F58" i="37"/>
  <c r="S57" i="37"/>
  <c r="S59" i="37" s="1"/>
  <c r="P56" i="37" s="1"/>
  <c r="R13" i="2"/>
  <c r="F57" i="37"/>
  <c r="F59" i="37" s="1"/>
  <c r="E13" i="2"/>
  <c r="C20" i="2"/>
  <c r="J60" i="37" l="1"/>
  <c r="F61" i="37"/>
  <c r="C56" i="37"/>
  <c r="D64" i="37"/>
  <c r="D66" i="37"/>
  <c r="D65" i="37"/>
  <c r="D23" i="47"/>
  <c r="C51" i="29"/>
  <c r="C52" i="29"/>
  <c r="C53" i="29"/>
  <c r="C54" i="29"/>
  <c r="C50" i="29"/>
  <c r="C55" i="29"/>
  <c r="C40" i="29"/>
  <c r="C41" i="29"/>
  <c r="C42" i="29"/>
  <c r="C43" i="29"/>
  <c r="C44" i="29"/>
  <c r="C45" i="29"/>
  <c r="C46" i="29"/>
  <c r="C39" i="29"/>
  <c r="C244" i="29"/>
  <c r="B240" i="29"/>
  <c r="C240" i="29"/>
  <c r="F219" i="29"/>
  <c r="F221" i="29"/>
  <c r="W39" i="16"/>
  <c r="H206" i="29" s="1"/>
  <c r="H197" i="29"/>
  <c r="H198" i="29"/>
  <c r="H199" i="29"/>
  <c r="H200" i="29"/>
  <c r="H201" i="29"/>
  <c r="H202" i="29"/>
  <c r="H203" i="29"/>
  <c r="H204" i="29"/>
  <c r="H205" i="29"/>
  <c r="H196" i="29"/>
  <c r="C197" i="29"/>
  <c r="C198" i="29"/>
  <c r="C199" i="29"/>
  <c r="C200" i="29"/>
  <c r="C201" i="29"/>
  <c r="C202" i="29"/>
  <c r="C203" i="29"/>
  <c r="C204" i="29"/>
  <c r="C205" i="29"/>
  <c r="C196" i="29"/>
  <c r="H193" i="29"/>
  <c r="B189" i="29"/>
  <c r="C189" i="29"/>
  <c r="C188" i="29"/>
  <c r="E178" i="29"/>
  <c r="J160" i="29"/>
  <c r="J161" i="29"/>
  <c r="J162" i="29"/>
  <c r="J163" i="29"/>
  <c r="J164" i="29"/>
  <c r="J165" i="29"/>
  <c r="J166" i="29"/>
  <c r="J159" i="29"/>
  <c r="H160" i="29"/>
  <c r="H161" i="29"/>
  <c r="H162" i="29"/>
  <c r="H163" i="29"/>
  <c r="H164" i="29"/>
  <c r="H165" i="29"/>
  <c r="H166" i="29"/>
  <c r="H159" i="29"/>
  <c r="D160" i="29"/>
  <c r="D161" i="29"/>
  <c r="D162" i="29"/>
  <c r="D163" i="29"/>
  <c r="D164" i="29"/>
  <c r="D165" i="29"/>
  <c r="D166" i="29"/>
  <c r="D159" i="29"/>
  <c r="B162" i="29"/>
  <c r="B163" i="29"/>
  <c r="B164" i="29"/>
  <c r="B165" i="29"/>
  <c r="B166" i="29"/>
  <c r="C151" i="29"/>
  <c r="C146" i="29"/>
  <c r="C147" i="29"/>
  <c r="C145" i="29"/>
  <c r="C143" i="29"/>
  <c r="C141" i="29"/>
  <c r="C135" i="29"/>
  <c r="C129" i="29"/>
  <c r="C128" i="29"/>
  <c r="C112" i="29"/>
  <c r="C111" i="29"/>
  <c r="C110" i="29"/>
  <c r="L40" i="2"/>
  <c r="C27" i="2"/>
  <c r="C23" i="2"/>
  <c r="G8" i="2"/>
  <c r="G6" i="2"/>
  <c r="P20" i="2"/>
  <c r="P23" i="2"/>
  <c r="F103" i="29"/>
  <c r="H99" i="29"/>
  <c r="C19" i="2" l="1"/>
  <c r="B111" i="29"/>
  <c r="B110" i="29"/>
  <c r="E93" i="29"/>
  <c r="E94" i="29"/>
  <c r="E95" i="29"/>
  <c r="E96" i="29"/>
  <c r="E97" i="29"/>
  <c r="E92" i="29"/>
  <c r="E87" i="29"/>
  <c r="E88" i="29"/>
  <c r="E89" i="29"/>
  <c r="E86" i="29"/>
  <c r="E84" i="29"/>
  <c r="E83" i="29"/>
  <c r="F76" i="29"/>
  <c r="F72" i="29"/>
  <c r="F70" i="29"/>
  <c r="F68" i="29"/>
  <c r="C59" i="29"/>
  <c r="C60" i="29"/>
  <c r="C61" i="29"/>
  <c r="C62" i="29"/>
  <c r="C63" i="29"/>
  <c r="C64" i="29"/>
  <c r="C58" i="29"/>
  <c r="R31" i="36"/>
  <c r="C17" i="29"/>
  <c r="V37" i="38"/>
  <c r="V39" i="38" s="1"/>
  <c r="H39" i="38"/>
  <c r="D21" i="47"/>
  <c r="H10" i="47" s="1"/>
  <c r="Q25" i="46"/>
  <c r="Q26" i="46"/>
  <c r="S25" i="46"/>
  <c r="B53" i="29" s="1"/>
  <c r="S20" i="27"/>
  <c r="E20" i="27"/>
  <c r="E25" i="46"/>
  <c r="C25" i="46"/>
  <c r="F105" i="29"/>
  <c r="AD41" i="34"/>
  <c r="AA41" i="34"/>
  <c r="W41" i="34"/>
  <c r="AD39" i="34"/>
  <c r="AA39" i="34"/>
  <c r="W39" i="34"/>
  <c r="AD37" i="34"/>
  <c r="AA37" i="34"/>
  <c r="W37" i="34"/>
  <c r="AD35" i="34"/>
  <c r="AA35" i="34"/>
  <c r="W35" i="34"/>
  <c r="AD33" i="34"/>
  <c r="AA33" i="34"/>
  <c r="W33" i="34"/>
  <c r="N41" i="34"/>
  <c r="K41" i="34"/>
  <c r="G41" i="34"/>
  <c r="N39" i="34"/>
  <c r="K39" i="34"/>
  <c r="G39" i="34"/>
  <c r="N37" i="34"/>
  <c r="K37" i="34"/>
  <c r="G37" i="34"/>
  <c r="N35" i="34"/>
  <c r="K35" i="34"/>
  <c r="G35" i="34"/>
  <c r="N33" i="34"/>
  <c r="K33" i="34"/>
  <c r="G33" i="34"/>
  <c r="F26" i="43"/>
  <c r="H50" i="47"/>
  <c r="F51" i="24"/>
  <c r="F55" i="24"/>
  <c r="F18" i="24"/>
  <c r="D57" i="47"/>
  <c r="H32" i="47"/>
  <c r="H30" i="47"/>
  <c r="H29" i="47"/>
  <c r="E55" i="38" l="1"/>
  <c r="E54" i="38"/>
  <c r="E53" i="38"/>
  <c r="E46" i="38"/>
  <c r="E45" i="38"/>
  <c r="F218" i="29"/>
  <c r="S53" i="38"/>
  <c r="T105" i="24"/>
  <c r="T101" i="24"/>
  <c r="T97" i="24"/>
  <c r="T93" i="24"/>
  <c r="T89" i="24"/>
  <c r="T85" i="24"/>
  <c r="T81" i="24"/>
  <c r="T77" i="24"/>
  <c r="T73" i="24"/>
  <c r="T69" i="24"/>
  <c r="T64" i="24"/>
  <c r="T60" i="24"/>
  <c r="T55" i="24"/>
  <c r="T51" i="24"/>
  <c r="T47" i="24"/>
  <c r="T43" i="24"/>
  <c r="T39" i="24"/>
  <c r="T35" i="24"/>
  <c r="T31" i="24"/>
  <c r="T26" i="24"/>
  <c r="T22" i="24"/>
  <c r="T18" i="24"/>
  <c r="S8" i="24"/>
  <c r="S6" i="24"/>
  <c r="S5" i="24"/>
  <c r="F31" i="36" l="1"/>
  <c r="F32" i="36" s="1"/>
  <c r="V8" i="38" l="1"/>
  <c r="V6" i="38"/>
  <c r="D14" i="39"/>
  <c r="Q14" i="39"/>
  <c r="S26" i="43"/>
  <c r="T39" i="23"/>
  <c r="T29" i="23"/>
  <c r="T28" i="23" s="1"/>
  <c r="T26" i="23"/>
  <c r="T25" i="23" s="1"/>
  <c r="T23" i="23"/>
  <c r="T21" i="23"/>
  <c r="T18" i="23"/>
  <c r="T16" i="23"/>
  <c r="T168" i="23"/>
  <c r="T167" i="23" s="1"/>
  <c r="T165" i="23"/>
  <c r="T163" i="23"/>
  <c r="T155" i="23"/>
  <c r="T149" i="23"/>
  <c r="T147" i="23"/>
  <c r="T144" i="23"/>
  <c r="T143" i="23" s="1"/>
  <c r="T138" i="23"/>
  <c r="T132" i="23"/>
  <c r="T130" i="23"/>
  <c r="T128" i="23"/>
  <c r="T110" i="23"/>
  <c r="T109" i="23" s="1"/>
  <c r="T106" i="23"/>
  <c r="T104" i="23"/>
  <c r="T97" i="23"/>
  <c r="T95" i="23"/>
  <c r="T78" i="23"/>
  <c r="T76" i="23"/>
  <c r="T73" i="23"/>
  <c r="T71" i="23"/>
  <c r="T68" i="23"/>
  <c r="T66" i="23"/>
  <c r="T63" i="23"/>
  <c r="T62" i="23" s="1"/>
  <c r="T60" i="23"/>
  <c r="T58" i="23"/>
  <c r="T50" i="23"/>
  <c r="T48" i="23"/>
  <c r="T46" i="23"/>
  <c r="T41" i="23"/>
  <c r="T36" i="23"/>
  <c r="T34" i="23"/>
  <c r="Y8" i="23"/>
  <c r="Y6" i="23"/>
  <c r="Y5" i="23"/>
  <c r="I58" i="22"/>
  <c r="I50" i="22"/>
  <c r="I44" i="22"/>
  <c r="I32" i="22"/>
  <c r="I20" i="22"/>
  <c r="C168" i="23"/>
  <c r="C167" i="23" s="1"/>
  <c r="C165" i="23"/>
  <c r="C163" i="23"/>
  <c r="C157" i="23"/>
  <c r="C155" i="23"/>
  <c r="C149" i="23"/>
  <c r="C147" i="23"/>
  <c r="C144" i="23"/>
  <c r="C143" i="23" s="1"/>
  <c r="C138" i="23"/>
  <c r="C137" i="23" s="1"/>
  <c r="C132" i="23"/>
  <c r="C130" i="23"/>
  <c r="C128" i="23"/>
  <c r="C110" i="23"/>
  <c r="C109" i="23" s="1"/>
  <c r="C106" i="23"/>
  <c r="C104" i="23"/>
  <c r="C97" i="23"/>
  <c r="C95" i="23"/>
  <c r="C76" i="23"/>
  <c r="C73" i="23"/>
  <c r="C71" i="23"/>
  <c r="C68" i="23"/>
  <c r="C66" i="23"/>
  <c r="C63" i="23"/>
  <c r="C62" i="23" s="1"/>
  <c r="C60" i="23"/>
  <c r="C58" i="23"/>
  <c r="C50" i="23"/>
  <c r="C48" i="23"/>
  <c r="C46" i="23"/>
  <c r="C41" i="23"/>
  <c r="C39" i="23"/>
  <c r="C36" i="23"/>
  <c r="C34" i="23"/>
  <c r="C29" i="23"/>
  <c r="C28" i="23" s="1"/>
  <c r="C26" i="23"/>
  <c r="C25" i="23" s="1"/>
  <c r="C23" i="23"/>
  <c r="C21" i="23"/>
  <c r="C18" i="23"/>
  <c r="C16" i="23"/>
  <c r="C94" i="23" l="1"/>
  <c r="C103" i="23"/>
  <c r="C127" i="23"/>
  <c r="C162" i="23"/>
  <c r="C154" i="23"/>
  <c r="C146" i="23"/>
  <c r="I75" i="22"/>
  <c r="T15" i="23"/>
  <c r="T94" i="23"/>
  <c r="T65" i="23"/>
  <c r="T75" i="23"/>
  <c r="C57" i="23"/>
  <c r="C38" i="23"/>
  <c r="T137" i="23"/>
  <c r="C65" i="23"/>
  <c r="F220" i="29"/>
  <c r="T127" i="23"/>
  <c r="T38" i="23"/>
  <c r="T57" i="23"/>
  <c r="T154" i="23"/>
  <c r="T45" i="23"/>
  <c r="T70" i="23"/>
  <c r="C20" i="23"/>
  <c r="C33" i="23"/>
  <c r="C70" i="23"/>
  <c r="T103" i="23"/>
  <c r="T146" i="23"/>
  <c r="T162" i="23"/>
  <c r="C45" i="23"/>
  <c r="T33" i="23"/>
  <c r="T20" i="23"/>
  <c r="C15" i="23"/>
  <c r="R46" i="38" l="1"/>
  <c r="B227" i="29" s="1"/>
  <c r="C227" i="29"/>
  <c r="R45" i="38"/>
  <c r="B226" i="29" s="1"/>
  <c r="C226" i="29"/>
  <c r="R54" i="38"/>
  <c r="B235" i="29" s="1"/>
  <c r="C235" i="29"/>
  <c r="R53" i="38"/>
  <c r="C234" i="29"/>
  <c r="R55" i="38"/>
  <c r="B236" i="29" s="1"/>
  <c r="C236" i="29"/>
  <c r="S44" i="35"/>
  <c r="S39" i="35"/>
  <c r="B143" i="29" s="1"/>
  <c r="S37" i="35"/>
  <c r="B141" i="29" s="1"/>
  <c r="S31" i="35"/>
  <c r="B135" i="29" s="1"/>
  <c r="W8" i="35"/>
  <c r="W6" i="35"/>
  <c r="E44" i="35"/>
  <c r="Q43" i="35"/>
  <c r="Q42" i="35"/>
  <c r="Q41" i="35"/>
  <c r="C42" i="35"/>
  <c r="C43" i="35"/>
  <c r="C41" i="35"/>
  <c r="R32" i="38" l="1"/>
  <c r="V10" i="38" s="1"/>
  <c r="B234" i="29"/>
  <c r="B140" i="29"/>
  <c r="S41" i="35"/>
  <c r="B145" i="29" s="1"/>
  <c r="S36" i="35"/>
  <c r="E41" i="35"/>
  <c r="W10" i="35" l="1"/>
  <c r="AA47" i="22" s="1"/>
  <c r="D34" i="27"/>
  <c r="R34" i="27"/>
  <c r="C26" i="27"/>
  <c r="C27" i="27"/>
  <c r="C28" i="27"/>
  <c r="C29" i="27"/>
  <c r="Q26" i="27"/>
  <c r="Q27" i="27"/>
  <c r="Q28" i="27"/>
  <c r="Q29" i="27"/>
  <c r="E29" i="27"/>
  <c r="S29" i="27"/>
  <c r="B45" i="29" s="1"/>
  <c r="S26" i="27"/>
  <c r="B42" i="29" s="1"/>
  <c r="E26" i="27"/>
  <c r="S25" i="27"/>
  <c r="B41" i="29" s="1"/>
  <c r="Q24" i="27"/>
  <c r="Q25" i="27"/>
  <c r="AE1240" i="9" l="1"/>
  <c r="AE1239" i="9"/>
  <c r="AE1238" i="9"/>
  <c r="AE1237" i="9"/>
  <c r="AU1234" i="9" s="1"/>
  <c r="AE1236" i="9"/>
  <c r="AE1235" i="9"/>
  <c r="AX1234" i="9"/>
  <c r="AW1234" i="9"/>
  <c r="AV1234" i="9"/>
  <c r="AT1234" i="9"/>
  <c r="AS1234" i="9"/>
  <c r="AP1234" i="9"/>
  <c r="AE1234" i="9"/>
  <c r="AR1234" i="9" s="1"/>
  <c r="AG1232" i="9"/>
  <c r="AD1230" i="9"/>
  <c r="AE1228" i="9"/>
  <c r="AE1227" i="9"/>
  <c r="AW1222" i="9" s="1"/>
  <c r="AE1226" i="9"/>
  <c r="AV1222" i="9" s="1"/>
  <c r="AE1225" i="9"/>
  <c r="AE1224" i="9"/>
  <c r="AE1223" i="9"/>
  <c r="AS1222" i="9" s="1"/>
  <c r="AX1222" i="9"/>
  <c r="AU1222" i="9"/>
  <c r="AT1222" i="9"/>
  <c r="AP1222" i="9"/>
  <c r="AE1222" i="9"/>
  <c r="AR1222" i="9" s="1"/>
  <c r="AG1220" i="9"/>
  <c r="AD1218" i="9"/>
  <c r="AE1216" i="9"/>
  <c r="AE1215" i="9"/>
  <c r="AE1214" i="9"/>
  <c r="AV1210" i="9" s="1"/>
  <c r="AE1213" i="9"/>
  <c r="AU1210" i="9" s="1"/>
  <c r="AE1212" i="9"/>
  <c r="AT1210" i="9" s="1"/>
  <c r="AE1211" i="9"/>
  <c r="AX1210" i="9"/>
  <c r="AW1210" i="9"/>
  <c r="AS1210" i="9"/>
  <c r="AR1210" i="9"/>
  <c r="AP1210" i="9"/>
  <c r="AE1210" i="9"/>
  <c r="AG1208" i="9"/>
  <c r="AD1206" i="9"/>
  <c r="AE1204" i="9"/>
  <c r="AX1198" i="9" s="1"/>
  <c r="AE1203" i="9"/>
  <c r="AW1198" i="9" s="1"/>
  <c r="AE1202" i="9"/>
  <c r="AV1198" i="9" s="1"/>
  <c r="AE1201" i="9"/>
  <c r="AE1200" i="9"/>
  <c r="AE1199" i="9"/>
  <c r="AS1198" i="9" s="1"/>
  <c r="AU1198" i="9"/>
  <c r="AT1198" i="9"/>
  <c r="AP1198" i="9"/>
  <c r="AE1198" i="9"/>
  <c r="AR1198" i="9" s="1"/>
  <c r="AG1196" i="9"/>
  <c r="AD1194" i="9"/>
  <c r="AE1192" i="9"/>
  <c r="AE1191" i="9"/>
  <c r="AE1190" i="9"/>
  <c r="AV1186" i="9" s="1"/>
  <c r="AE1189" i="9"/>
  <c r="AU1186" i="9" s="1"/>
  <c r="AE1188" i="9"/>
  <c r="AE1187" i="9"/>
  <c r="AX1186" i="9"/>
  <c r="AW1186" i="9"/>
  <c r="AT1186" i="9"/>
  <c r="AS1186" i="9"/>
  <c r="AP1186" i="9"/>
  <c r="AE1186" i="9"/>
  <c r="AR1186" i="9" s="1"/>
  <c r="AG1184" i="9"/>
  <c r="AD1182" i="9"/>
  <c r="AE1180" i="9"/>
  <c r="AX1174" i="9" s="1"/>
  <c r="AE1179" i="9"/>
  <c r="AW1174" i="9" s="1"/>
  <c r="AE1178" i="9"/>
  <c r="AE1177" i="9"/>
  <c r="AU1174" i="9" s="1"/>
  <c r="AE1176" i="9"/>
  <c r="AT1174" i="9" s="1"/>
  <c r="AE1175" i="9"/>
  <c r="AS1174" i="9" s="1"/>
  <c r="AV1174" i="9"/>
  <c r="AP1174" i="9"/>
  <c r="AE1174" i="9"/>
  <c r="AR1174" i="9" s="1"/>
  <c r="AG1172" i="9"/>
  <c r="AD1170" i="9"/>
  <c r="AE1168" i="9"/>
  <c r="AX1162" i="9" s="1"/>
  <c r="AE1167" i="9"/>
  <c r="AW1162" i="9" s="1"/>
  <c r="AE1166" i="9"/>
  <c r="AV1162" i="9" s="1"/>
  <c r="AE1165" i="9"/>
  <c r="AU1162" i="9" s="1"/>
  <c r="AE1164" i="9"/>
  <c r="AT1162" i="9" s="1"/>
  <c r="AE1163" i="9"/>
  <c r="AS1162" i="9" s="1"/>
  <c r="AR1162" i="9"/>
  <c r="AP1162" i="9"/>
  <c r="AE1162" i="9"/>
  <c r="AG1160" i="9"/>
  <c r="AD1158" i="9"/>
  <c r="AE1156" i="9"/>
  <c r="AX1150" i="9" s="1"/>
  <c r="AE1155" i="9"/>
  <c r="AW1150" i="9" s="1"/>
  <c r="AE1154" i="9"/>
  <c r="AE1153" i="9"/>
  <c r="AU1150" i="9" s="1"/>
  <c r="AE1152" i="9"/>
  <c r="AE1151" i="9"/>
  <c r="AS1150" i="9" s="1"/>
  <c r="AV1150" i="9"/>
  <c r="AT1150" i="9"/>
  <c r="AP1150" i="9"/>
  <c r="AE1150" i="9"/>
  <c r="AR1150" i="9" s="1"/>
  <c r="AG1148" i="9"/>
  <c r="AD1146" i="9"/>
  <c r="AE1144" i="9"/>
  <c r="AE1143" i="9"/>
  <c r="AW1138" i="9" s="1"/>
  <c r="AE1142" i="9"/>
  <c r="AV1138" i="9" s="1"/>
  <c r="AE1141" i="9"/>
  <c r="AU1138" i="9" s="1"/>
  <c r="AE1140" i="9"/>
  <c r="AT1138" i="9" s="1"/>
  <c r="AE1139" i="9"/>
  <c r="AX1138" i="9"/>
  <c r="AS1138" i="9"/>
  <c r="AP1138" i="9"/>
  <c r="AE1138" i="9"/>
  <c r="AR1138" i="9" s="1"/>
  <c r="AG1136" i="9"/>
  <c r="AD1134" i="9"/>
  <c r="AE1132" i="9"/>
  <c r="AX1126" i="9" s="1"/>
  <c r="AE1131" i="9"/>
  <c r="AW1126" i="9" s="1"/>
  <c r="AE1130" i="9"/>
  <c r="AE1129" i="9"/>
  <c r="AU1126" i="9" s="1"/>
  <c r="AE1128" i="9"/>
  <c r="AT1126" i="9" s="1"/>
  <c r="AE1127" i="9"/>
  <c r="AS1126" i="9" s="1"/>
  <c r="AV1126" i="9"/>
  <c r="AP1126" i="9"/>
  <c r="AE1126" i="9"/>
  <c r="AR1126" i="9" s="1"/>
  <c r="AG1124" i="9"/>
  <c r="AD1122" i="9"/>
  <c r="AE1120" i="9"/>
  <c r="AX1114" i="9" s="1"/>
  <c r="AE1119" i="9"/>
  <c r="AE1118" i="9"/>
  <c r="AV1114" i="9" s="1"/>
  <c r="AE1117" i="9"/>
  <c r="AU1114" i="9" s="1"/>
  <c r="AE1116" i="9"/>
  <c r="AT1114" i="9" s="1"/>
  <c r="AE1115" i="9"/>
  <c r="AW1114" i="9"/>
  <c r="AS1114" i="9"/>
  <c r="AP1114" i="9"/>
  <c r="AE1114" i="9"/>
  <c r="AR1114" i="9" s="1"/>
  <c r="AG1112" i="9"/>
  <c r="AD1110" i="9"/>
  <c r="AE1108" i="9"/>
  <c r="AX1102" i="9" s="1"/>
  <c r="AE1107" i="9"/>
  <c r="AW1102" i="9" s="1"/>
  <c r="AE1106" i="9"/>
  <c r="AV1102" i="9" s="1"/>
  <c r="AE1105" i="9"/>
  <c r="AE1104" i="9"/>
  <c r="AT1102" i="9" s="1"/>
  <c r="AE1103" i="9"/>
  <c r="AS1102" i="9" s="1"/>
  <c r="AU1102" i="9"/>
  <c r="AP1102" i="9"/>
  <c r="AE1102" i="9"/>
  <c r="AR1102" i="9" s="1"/>
  <c r="AG1100" i="9"/>
  <c r="AD1098" i="9"/>
  <c r="AE1096" i="9"/>
  <c r="AX1090" i="9" s="1"/>
  <c r="AE1095" i="9"/>
  <c r="AE1094" i="9"/>
  <c r="AE1093" i="9"/>
  <c r="AU1090" i="9" s="1"/>
  <c r="AE1092" i="9"/>
  <c r="AE1091" i="9"/>
  <c r="AS1090" i="9" s="1"/>
  <c r="AW1090" i="9"/>
  <c r="AV1090" i="9"/>
  <c r="AT1090" i="9"/>
  <c r="AP1090" i="9"/>
  <c r="AE1090" i="9"/>
  <c r="AR1090" i="9" s="1"/>
  <c r="AG1088" i="9"/>
  <c r="AD1086" i="9"/>
  <c r="AE1084" i="9"/>
  <c r="AX1078" i="9" s="1"/>
  <c r="AE1083" i="9"/>
  <c r="AW1078" i="9" s="1"/>
  <c r="AE1082" i="9"/>
  <c r="AV1078" i="9" s="1"/>
  <c r="AE1081" i="9"/>
  <c r="AE1080" i="9"/>
  <c r="AT1078" i="9" s="1"/>
  <c r="AE1079" i="9"/>
  <c r="AS1078" i="9" s="1"/>
  <c r="AU1078" i="9"/>
  <c r="AP1078" i="9"/>
  <c r="AE1078" i="9"/>
  <c r="AR1078" i="9" s="1"/>
  <c r="AG1076" i="9"/>
  <c r="AD1074" i="9"/>
  <c r="AE1072" i="9"/>
  <c r="AX1066" i="9" s="1"/>
  <c r="AE1071" i="9"/>
  <c r="AE1070" i="9"/>
  <c r="AE1069" i="9"/>
  <c r="AU1066" i="9" s="1"/>
  <c r="AE1068" i="9"/>
  <c r="AE1067" i="9"/>
  <c r="AS1066" i="9" s="1"/>
  <c r="AW1066" i="9"/>
  <c r="AV1066" i="9"/>
  <c r="AT1066" i="9"/>
  <c r="AP1066" i="9"/>
  <c r="AE1066" i="9"/>
  <c r="AR1066" i="9" s="1"/>
  <c r="AG1064" i="9"/>
  <c r="AD1062" i="9"/>
  <c r="AE1060" i="9"/>
  <c r="AX1054" i="9" s="1"/>
  <c r="AE1059" i="9"/>
  <c r="AW1054" i="9" s="1"/>
  <c r="AE1058" i="9"/>
  <c r="AV1054" i="9" s="1"/>
  <c r="AE1057" i="9"/>
  <c r="AE1056" i="9"/>
  <c r="AT1054" i="9" s="1"/>
  <c r="AE1055" i="9"/>
  <c r="AS1054" i="9" s="1"/>
  <c r="AU1054" i="9"/>
  <c r="AP1054" i="9"/>
  <c r="AE1054" i="9"/>
  <c r="AR1054" i="9" s="1"/>
  <c r="AG1052" i="9"/>
  <c r="AD1050" i="9"/>
  <c r="AE1048" i="9"/>
  <c r="AE1047" i="9"/>
  <c r="AE1046" i="9"/>
  <c r="AV1042" i="9" s="1"/>
  <c r="AE1045" i="9"/>
  <c r="AU1042" i="9" s="1"/>
  <c r="AE1044" i="9"/>
  <c r="AT1042" i="9" s="1"/>
  <c r="AE1043" i="9"/>
  <c r="AX1042" i="9"/>
  <c r="AW1042" i="9"/>
  <c r="AS1042" i="9"/>
  <c r="AP1042" i="9"/>
  <c r="AE1042" i="9"/>
  <c r="AR1042" i="9" s="1"/>
  <c r="AG1040" i="9"/>
  <c r="AD1038" i="9"/>
  <c r="AE1036" i="9"/>
  <c r="AX1030" i="9" s="1"/>
  <c r="AE1035" i="9"/>
  <c r="AW1030" i="9" s="1"/>
  <c r="AE1034" i="9"/>
  <c r="AE1033" i="9"/>
  <c r="AE1032" i="9"/>
  <c r="AT1030" i="9" s="1"/>
  <c r="AE1031" i="9"/>
  <c r="AS1030" i="9" s="1"/>
  <c r="AV1030" i="9"/>
  <c r="AU1030" i="9"/>
  <c r="AP1030" i="9"/>
  <c r="AE1030" i="9"/>
  <c r="AR1030" i="9" s="1"/>
  <c r="AG1028" i="9"/>
  <c r="AD1026" i="9"/>
  <c r="AE1024" i="9"/>
  <c r="AX1018" i="9" s="1"/>
  <c r="AE1023" i="9"/>
  <c r="AE1022" i="9"/>
  <c r="AV1018" i="9" s="1"/>
  <c r="AE1021" i="9"/>
  <c r="AU1018" i="9" s="1"/>
  <c r="AE1020" i="9"/>
  <c r="AT1018" i="9" s="1"/>
  <c r="AE1019" i="9"/>
  <c r="AS1018" i="9" s="1"/>
  <c r="AW1018" i="9"/>
  <c r="AP1018" i="9"/>
  <c r="AE1018" i="9"/>
  <c r="AR1018" i="9" s="1"/>
  <c r="AG1016" i="9"/>
  <c r="AD1014" i="9"/>
  <c r="AE1012" i="9"/>
  <c r="AX1006" i="9" s="1"/>
  <c r="AE1011" i="9"/>
  <c r="AW1006" i="9" s="1"/>
  <c r="AE1010" i="9"/>
  <c r="AE1009" i="9"/>
  <c r="AE1008" i="9"/>
  <c r="AT1006" i="9" s="1"/>
  <c r="AE1007" i="9"/>
  <c r="AS1006" i="9" s="1"/>
  <c r="AV1006" i="9"/>
  <c r="AU1006" i="9"/>
  <c r="AP1006" i="9"/>
  <c r="AE1006" i="9"/>
  <c r="AR1006" i="9" s="1"/>
  <c r="AG1004" i="9"/>
  <c r="AD1002" i="9"/>
  <c r="AE1000" i="9"/>
  <c r="AE999" i="9"/>
  <c r="AE998" i="9"/>
  <c r="AV994" i="9" s="1"/>
  <c r="AE997" i="9"/>
  <c r="AU994" i="9" s="1"/>
  <c r="AE996" i="9"/>
  <c r="AT994" i="9" s="1"/>
  <c r="AE995" i="9"/>
  <c r="AX994" i="9"/>
  <c r="AW994" i="9"/>
  <c r="AS994" i="9"/>
  <c r="AP994" i="9"/>
  <c r="AE994" i="9"/>
  <c r="AR994" i="9" s="1"/>
  <c r="AG992" i="9"/>
  <c r="AD990" i="9"/>
  <c r="AE988" i="9"/>
  <c r="AX982" i="9" s="1"/>
  <c r="AE987" i="9"/>
  <c r="AW982" i="9" s="1"/>
  <c r="AE986" i="9"/>
  <c r="AE985" i="9"/>
  <c r="AE984" i="9"/>
  <c r="AT982" i="9" s="1"/>
  <c r="AE983" i="9"/>
  <c r="AS982" i="9" s="1"/>
  <c r="AV982" i="9"/>
  <c r="AU982" i="9"/>
  <c r="AR982" i="9"/>
  <c r="AP982" i="9"/>
  <c r="AE982" i="9"/>
  <c r="AG980" i="9"/>
  <c r="AD978" i="9"/>
  <c r="AE976" i="9"/>
  <c r="AX970" i="9" s="1"/>
  <c r="AE975" i="9"/>
  <c r="AE974" i="9"/>
  <c r="AV970" i="9" s="1"/>
  <c r="AE973" i="9"/>
  <c r="AU970" i="9" s="1"/>
  <c r="AE972" i="9"/>
  <c r="AE971" i="9"/>
  <c r="AW970" i="9"/>
  <c r="AT970" i="9"/>
  <c r="AS970" i="9"/>
  <c r="AP970" i="9"/>
  <c r="AE970" i="9"/>
  <c r="AR970" i="9" s="1"/>
  <c r="AG968" i="9"/>
  <c r="AD966" i="9"/>
  <c r="AE964" i="9"/>
  <c r="AE963" i="9"/>
  <c r="AW958" i="9" s="1"/>
  <c r="AE962" i="9"/>
  <c r="AV958" i="9" s="1"/>
  <c r="AE961" i="9"/>
  <c r="AE960" i="9"/>
  <c r="AE959" i="9"/>
  <c r="AS958" i="9" s="1"/>
  <c r="AX958" i="9"/>
  <c r="AU958" i="9"/>
  <c r="AT958" i="9"/>
  <c r="AP958" i="9"/>
  <c r="AE958" i="9"/>
  <c r="AR958" i="9" s="1"/>
  <c r="AG956" i="9"/>
  <c r="AD954" i="9"/>
  <c r="AE952" i="9"/>
  <c r="AX946" i="9" s="1"/>
  <c r="AE951" i="9"/>
  <c r="AE950" i="9"/>
  <c r="AE949" i="9"/>
  <c r="AU946" i="9" s="1"/>
  <c r="AE948" i="9"/>
  <c r="AT946" i="9" s="1"/>
  <c r="AE947" i="9"/>
  <c r="AW946" i="9"/>
  <c r="AV946" i="9"/>
  <c r="AS946" i="9"/>
  <c r="AP946" i="9"/>
  <c r="AE946" i="9"/>
  <c r="AR946" i="9" s="1"/>
  <c r="AG944" i="9"/>
  <c r="AD942" i="9"/>
  <c r="AE940" i="9"/>
  <c r="AE939" i="9"/>
  <c r="AW934" i="9" s="1"/>
  <c r="AE938" i="9"/>
  <c r="AV934" i="9" s="1"/>
  <c r="AE937" i="9"/>
  <c r="AE936" i="9"/>
  <c r="AE935" i="9"/>
  <c r="AS934" i="9" s="1"/>
  <c r="AX934" i="9"/>
  <c r="AU934" i="9"/>
  <c r="AT934" i="9"/>
  <c r="AP934" i="9"/>
  <c r="AE934" i="9"/>
  <c r="AR934" i="9" s="1"/>
  <c r="AG932" i="9"/>
  <c r="AD930" i="9"/>
  <c r="AE928" i="9"/>
  <c r="AE927" i="9"/>
  <c r="AE926" i="9"/>
  <c r="AE925" i="9"/>
  <c r="AU922" i="9" s="1"/>
  <c r="AE924" i="9"/>
  <c r="AT922" i="9" s="1"/>
  <c r="AE923" i="9"/>
  <c r="AX922" i="9"/>
  <c r="AW922" i="9"/>
  <c r="AV922" i="9"/>
  <c r="AS922" i="9"/>
  <c r="AP922" i="9"/>
  <c r="AE922" i="9"/>
  <c r="AR922" i="9" s="1"/>
  <c r="AG920" i="9"/>
  <c r="AD918" i="9"/>
  <c r="AE916" i="9"/>
  <c r="AE915" i="9"/>
  <c r="AW910" i="9" s="1"/>
  <c r="AE914" i="9"/>
  <c r="AE913" i="9"/>
  <c r="AU910" i="9" s="1"/>
  <c r="AE912" i="9"/>
  <c r="AT910" i="9" s="1"/>
  <c r="AE911" i="9"/>
  <c r="AS910" i="9" s="1"/>
  <c r="AX910" i="9"/>
  <c r="AV910" i="9"/>
  <c r="AP910" i="9"/>
  <c r="AE910" i="9"/>
  <c r="AR910" i="9" s="1"/>
  <c r="AG908" i="9"/>
  <c r="AD906" i="9"/>
  <c r="AE904" i="9"/>
  <c r="AX898" i="9" s="1"/>
  <c r="AE903" i="9"/>
  <c r="AE902" i="9"/>
  <c r="AE901" i="9"/>
  <c r="AU898" i="9" s="1"/>
  <c r="AE900" i="9"/>
  <c r="AT898" i="9" s="1"/>
  <c r="AE899" i="9"/>
  <c r="AW898" i="9"/>
  <c r="AV898" i="9"/>
  <c r="AS898" i="9"/>
  <c r="AP898" i="9"/>
  <c r="AE898" i="9"/>
  <c r="AR898" i="9" s="1"/>
  <c r="AG896" i="9"/>
  <c r="AD894" i="9"/>
  <c r="AE892" i="9"/>
  <c r="AX886" i="9" s="1"/>
  <c r="AE891" i="9"/>
  <c r="AW886" i="9" s="1"/>
  <c r="AE890" i="9"/>
  <c r="AE889" i="9"/>
  <c r="AU886" i="9" s="1"/>
  <c r="AE888" i="9"/>
  <c r="AE887" i="9"/>
  <c r="AS886" i="9" s="1"/>
  <c r="AV886" i="9"/>
  <c r="AT886" i="9"/>
  <c r="AP886" i="9"/>
  <c r="AE886" i="9"/>
  <c r="AR886" i="9" s="1"/>
  <c r="AG884" i="9"/>
  <c r="AD882" i="9"/>
  <c r="AE880" i="9"/>
  <c r="AE879" i="9"/>
  <c r="AE878" i="9"/>
  <c r="AV874" i="9" s="1"/>
  <c r="AE877" i="9"/>
  <c r="AU874" i="9" s="1"/>
  <c r="AE876" i="9"/>
  <c r="AT874" i="9" s="1"/>
  <c r="AE875" i="9"/>
  <c r="AX874" i="9"/>
  <c r="AW874" i="9"/>
  <c r="AS874" i="9"/>
  <c r="AP874" i="9"/>
  <c r="AE874" i="9"/>
  <c r="AR874" i="9" s="1"/>
  <c r="AG872" i="9"/>
  <c r="AD870" i="9"/>
  <c r="AE868" i="9"/>
  <c r="AX862" i="9" s="1"/>
  <c r="AE867" i="9"/>
  <c r="AW862" i="9" s="1"/>
  <c r="AE866" i="9"/>
  <c r="AE865" i="9"/>
  <c r="AE864" i="9"/>
  <c r="AT862" i="9" s="1"/>
  <c r="AE863" i="9"/>
  <c r="AS862" i="9" s="1"/>
  <c r="AV862" i="9"/>
  <c r="AU862" i="9"/>
  <c r="AR862" i="9"/>
  <c r="AP862" i="9"/>
  <c r="AE862" i="9"/>
  <c r="AG860" i="9"/>
  <c r="AD858" i="9"/>
  <c r="AE856" i="9"/>
  <c r="AX850" i="9" s="1"/>
  <c r="AE855" i="9"/>
  <c r="AE854" i="9"/>
  <c r="AV850" i="9" s="1"/>
  <c r="AE853" i="9"/>
  <c r="AU850" i="9" s="1"/>
  <c r="AE852" i="9"/>
  <c r="AE851" i="9"/>
  <c r="AW850" i="9"/>
  <c r="AT850" i="9"/>
  <c r="AS850" i="9"/>
  <c r="AP850" i="9"/>
  <c r="AE850" i="9"/>
  <c r="AR850" i="9" s="1"/>
  <c r="AG848" i="9"/>
  <c r="AD846" i="9"/>
  <c r="AE844" i="9"/>
  <c r="AX838" i="9" s="1"/>
  <c r="AE843" i="9"/>
  <c r="AW838" i="9" s="1"/>
  <c r="AE842" i="9"/>
  <c r="AE841" i="9"/>
  <c r="AE840" i="9"/>
  <c r="AT838" i="9" s="1"/>
  <c r="AE839" i="9"/>
  <c r="AS838" i="9" s="1"/>
  <c r="AV838" i="9"/>
  <c r="AU838" i="9"/>
  <c r="AP838" i="9"/>
  <c r="AE838" i="9"/>
  <c r="AR838" i="9" s="1"/>
  <c r="AG836" i="9"/>
  <c r="AD834" i="9"/>
  <c r="AE832" i="9"/>
  <c r="AX826" i="9" s="1"/>
  <c r="AE831" i="9"/>
  <c r="AW826" i="9" s="1"/>
  <c r="AE830" i="9"/>
  <c r="AE829" i="9"/>
  <c r="AU826" i="9" s="1"/>
  <c r="AE828" i="9"/>
  <c r="AE827" i="9"/>
  <c r="AS826" i="9" s="1"/>
  <c r="AV826" i="9"/>
  <c r="AT826" i="9"/>
  <c r="AP826" i="9"/>
  <c r="AE826" i="9"/>
  <c r="AR826" i="9" s="1"/>
  <c r="AG824" i="9"/>
  <c r="AD822" i="9"/>
  <c r="AE820" i="9"/>
  <c r="AX814" i="9" s="1"/>
  <c r="AE819" i="9"/>
  <c r="AE818" i="9"/>
  <c r="AV814" i="9" s="1"/>
  <c r="AE817" i="9"/>
  <c r="AU814" i="9" s="1"/>
  <c r="AE816" i="9"/>
  <c r="AT814" i="9" s="1"/>
  <c r="AE815" i="9"/>
  <c r="AW814" i="9"/>
  <c r="AS814" i="9"/>
  <c r="AP814" i="9"/>
  <c r="AE814" i="9"/>
  <c r="AR814" i="9" s="1"/>
  <c r="AG812" i="9"/>
  <c r="AD810" i="9"/>
  <c r="AE808" i="9"/>
  <c r="AE807" i="9"/>
  <c r="AW802" i="9" s="1"/>
  <c r="AE806" i="9"/>
  <c r="AE805" i="9"/>
  <c r="AU802" i="9" s="1"/>
  <c r="AE804" i="9"/>
  <c r="AE803" i="9"/>
  <c r="AS802" i="9" s="1"/>
  <c r="AX802" i="9"/>
  <c r="AV802" i="9"/>
  <c r="AT802" i="9"/>
  <c r="AP802" i="9"/>
  <c r="AE802" i="9"/>
  <c r="AR802" i="9" s="1"/>
  <c r="AG800" i="9"/>
  <c r="AD798" i="9"/>
  <c r="AE796" i="9"/>
  <c r="AE795" i="9"/>
  <c r="AW790" i="9" s="1"/>
  <c r="AE794" i="9"/>
  <c r="AE793" i="9"/>
  <c r="AU790" i="9" s="1"/>
  <c r="AE792" i="9"/>
  <c r="AT790" i="9" s="1"/>
  <c r="AE791" i="9"/>
  <c r="AS790" i="9" s="1"/>
  <c r="AX790" i="9"/>
  <c r="AV790" i="9"/>
  <c r="AP790" i="9"/>
  <c r="AE790" i="9"/>
  <c r="AR790" i="9" s="1"/>
  <c r="AG788" i="9"/>
  <c r="AD786" i="9"/>
  <c r="AE784" i="9"/>
  <c r="AE783" i="9"/>
  <c r="AW778" i="9" s="1"/>
  <c r="AE782" i="9"/>
  <c r="AE781" i="9"/>
  <c r="AU778" i="9" s="1"/>
  <c r="AE780" i="9"/>
  <c r="AE779" i="9"/>
  <c r="AS778" i="9" s="1"/>
  <c r="AX778" i="9"/>
  <c r="AV778" i="9"/>
  <c r="AT778" i="9"/>
  <c r="AP778" i="9"/>
  <c r="AE778" i="9"/>
  <c r="AR778" i="9" s="1"/>
  <c r="AG776" i="9"/>
  <c r="AD774" i="9"/>
  <c r="AE772" i="9"/>
  <c r="AX766" i="9" s="1"/>
  <c r="AE771" i="9"/>
  <c r="AW766" i="9" s="1"/>
  <c r="AE770" i="9"/>
  <c r="AE769" i="9"/>
  <c r="AU766" i="9" s="1"/>
  <c r="AE768" i="9"/>
  <c r="AT766" i="9" s="1"/>
  <c r="AE767" i="9"/>
  <c r="AS766" i="9" s="1"/>
  <c r="AV766" i="9"/>
  <c r="AR766" i="9"/>
  <c r="AP766" i="9"/>
  <c r="AE766" i="9"/>
  <c r="AG764" i="9"/>
  <c r="AD762" i="9"/>
  <c r="AE760" i="9"/>
  <c r="AE759" i="9"/>
  <c r="AE758" i="9"/>
  <c r="AE757" i="9"/>
  <c r="AU754" i="9" s="1"/>
  <c r="AE756" i="9"/>
  <c r="AT754" i="9" s="1"/>
  <c r="AE755" i="9"/>
  <c r="AS754" i="9" s="1"/>
  <c r="AX754" i="9"/>
  <c r="AW754" i="9"/>
  <c r="AV754" i="9"/>
  <c r="AP754" i="9"/>
  <c r="AE754" i="9"/>
  <c r="AR754" i="9" s="1"/>
  <c r="AG752" i="9"/>
  <c r="AD750" i="9"/>
  <c r="AE748" i="9"/>
  <c r="AX742" i="9" s="1"/>
  <c r="AE747" i="9"/>
  <c r="AE746" i="9"/>
  <c r="AE745" i="9"/>
  <c r="AU742" i="9" s="1"/>
  <c r="AE744" i="9"/>
  <c r="AT742" i="9" s="1"/>
  <c r="AE743" i="9"/>
  <c r="AS742" i="9" s="1"/>
  <c r="AW742" i="9"/>
  <c r="AV742" i="9"/>
  <c r="AP742" i="9"/>
  <c r="AE742" i="9"/>
  <c r="AR742" i="9" s="1"/>
  <c r="AG740" i="9"/>
  <c r="AD738" i="9"/>
  <c r="AE736" i="9"/>
  <c r="AE735" i="9"/>
  <c r="AE734" i="9"/>
  <c r="AV730" i="9" s="1"/>
  <c r="AE733" i="9"/>
  <c r="AU730" i="9" s="1"/>
  <c r="AE732" i="9"/>
  <c r="AT730" i="9" s="1"/>
  <c r="AE731" i="9"/>
  <c r="AX730" i="9"/>
  <c r="AW730" i="9"/>
  <c r="AS730" i="9"/>
  <c r="AP730" i="9"/>
  <c r="AE730" i="9"/>
  <c r="AR730" i="9" s="1"/>
  <c r="AG728" i="9"/>
  <c r="AD726" i="9"/>
  <c r="AE724" i="9"/>
  <c r="AE723" i="9"/>
  <c r="AW718" i="9" s="1"/>
  <c r="AE722" i="9"/>
  <c r="AE721" i="9"/>
  <c r="AU718" i="9" s="1"/>
  <c r="AE720" i="9"/>
  <c r="AT718" i="9" s="1"/>
  <c r="AE719" i="9"/>
  <c r="AS718" i="9" s="1"/>
  <c r="AX718" i="9"/>
  <c r="AV718" i="9"/>
  <c r="AP718" i="9"/>
  <c r="AE718" i="9"/>
  <c r="AR718" i="9" s="1"/>
  <c r="AG716" i="9"/>
  <c r="AD714" i="9"/>
  <c r="AE712" i="9"/>
  <c r="AX706" i="9" s="1"/>
  <c r="AE711" i="9"/>
  <c r="AE710" i="9"/>
  <c r="AE709" i="9"/>
  <c r="AU706" i="9" s="1"/>
  <c r="AE708" i="9"/>
  <c r="AT706" i="9" s="1"/>
  <c r="AE707" i="9"/>
  <c r="AW706" i="9"/>
  <c r="AV706" i="9"/>
  <c r="AS706" i="9"/>
  <c r="AP706" i="9"/>
  <c r="AE706" i="9"/>
  <c r="AR706" i="9" s="1"/>
  <c r="AG704" i="9"/>
  <c r="AD702" i="9"/>
  <c r="AE700" i="9"/>
  <c r="AE699" i="9"/>
  <c r="AE698" i="9"/>
  <c r="AV694" i="9" s="1"/>
  <c r="AE697" i="9"/>
  <c r="AU694" i="9" s="1"/>
  <c r="AE696" i="9"/>
  <c r="AT694" i="9" s="1"/>
  <c r="AE695" i="9"/>
  <c r="AS694" i="9" s="1"/>
  <c r="AX694" i="9"/>
  <c r="AW694" i="9"/>
  <c r="AP694" i="9"/>
  <c r="AE694" i="9"/>
  <c r="AR694" i="9" s="1"/>
  <c r="AG692" i="9"/>
  <c r="AD690" i="9"/>
  <c r="AE688" i="9"/>
  <c r="AX682" i="9" s="1"/>
  <c r="AE687" i="9"/>
  <c r="AE686" i="9"/>
  <c r="AE685" i="9"/>
  <c r="AU682" i="9" s="1"/>
  <c r="AE684" i="9"/>
  <c r="AT682" i="9" s="1"/>
  <c r="AE683" i="9"/>
  <c r="AS682" i="9" s="1"/>
  <c r="AW682" i="9"/>
  <c r="AV682" i="9"/>
  <c r="AP682" i="9"/>
  <c r="AE682" i="9"/>
  <c r="AR682" i="9" s="1"/>
  <c r="AG680" i="9"/>
  <c r="AD678" i="9"/>
  <c r="AE676" i="9"/>
  <c r="AE675" i="9"/>
  <c r="AE674" i="9"/>
  <c r="AV670" i="9" s="1"/>
  <c r="AE673" i="9"/>
  <c r="AU670" i="9" s="1"/>
  <c r="AE672" i="9"/>
  <c r="AT670" i="9" s="1"/>
  <c r="AE671" i="9"/>
  <c r="AX670" i="9"/>
  <c r="AW670" i="9"/>
  <c r="AS670" i="9"/>
  <c r="AP670" i="9"/>
  <c r="AE670" i="9"/>
  <c r="AR670" i="9" s="1"/>
  <c r="AG668" i="9"/>
  <c r="AD666" i="9"/>
  <c r="AE664" i="9"/>
  <c r="AX658" i="9" s="1"/>
  <c r="AE663" i="9"/>
  <c r="AW658" i="9" s="1"/>
  <c r="AE662" i="9"/>
  <c r="AE661" i="9"/>
  <c r="AE660" i="9"/>
  <c r="AT658" i="9" s="1"/>
  <c r="AE659" i="9"/>
  <c r="AS658" i="9" s="1"/>
  <c r="AV658" i="9"/>
  <c r="AU658" i="9"/>
  <c r="AP658" i="9"/>
  <c r="AE658" i="9"/>
  <c r="AR658" i="9" s="1"/>
  <c r="AG656" i="9"/>
  <c r="AD654" i="9"/>
  <c r="AE652" i="9"/>
  <c r="AX646" i="9" s="1"/>
  <c r="AE651" i="9"/>
  <c r="AE650" i="9"/>
  <c r="AE649" i="9"/>
  <c r="AU646" i="9" s="1"/>
  <c r="AE648" i="9"/>
  <c r="AT646" i="9" s="1"/>
  <c r="AE647" i="9"/>
  <c r="AW646" i="9"/>
  <c r="AV646" i="9"/>
  <c r="AS646" i="9"/>
  <c r="AP646" i="9"/>
  <c r="AE646" i="9"/>
  <c r="AR646" i="9" s="1"/>
  <c r="AG644" i="9"/>
  <c r="AD642" i="9"/>
  <c r="AE640" i="9"/>
  <c r="AE639" i="9"/>
  <c r="AW634" i="9" s="1"/>
  <c r="AE638" i="9"/>
  <c r="AV634" i="9" s="1"/>
  <c r="AE637" i="9"/>
  <c r="AU634" i="9" s="1"/>
  <c r="AE636" i="9"/>
  <c r="AT634" i="9" s="1"/>
  <c r="AE635" i="9"/>
  <c r="AS634" i="9" s="1"/>
  <c r="AX634" i="9"/>
  <c r="AP634" i="9"/>
  <c r="AE634" i="9"/>
  <c r="AR634" i="9" s="1"/>
  <c r="AG632" i="9"/>
  <c r="AD630" i="9"/>
  <c r="AE628" i="9"/>
  <c r="AX622" i="9" s="1"/>
  <c r="AE627" i="9"/>
  <c r="AW622" i="9" s="1"/>
  <c r="AE626" i="9"/>
  <c r="AE625" i="9"/>
  <c r="AU622" i="9" s="1"/>
  <c r="AE624" i="9"/>
  <c r="AT622" i="9" s="1"/>
  <c r="AE623" i="9"/>
  <c r="AV622" i="9"/>
  <c r="AS622" i="9"/>
  <c r="AP622" i="9"/>
  <c r="AE622" i="9"/>
  <c r="AR622" i="9" s="1"/>
  <c r="AG620" i="9"/>
  <c r="AD618" i="9"/>
  <c r="AE616" i="9"/>
  <c r="AE615" i="9"/>
  <c r="AW610" i="9" s="1"/>
  <c r="AE614" i="9"/>
  <c r="AV610" i="9" s="1"/>
  <c r="AE613" i="9"/>
  <c r="AU610" i="9" s="1"/>
  <c r="AE612" i="9"/>
  <c r="AT610" i="9" s="1"/>
  <c r="AE611" i="9"/>
  <c r="AS610" i="9" s="1"/>
  <c r="AX610" i="9"/>
  <c r="AP610" i="9"/>
  <c r="AE610" i="9"/>
  <c r="AR610" i="9" s="1"/>
  <c r="AG608" i="9"/>
  <c r="AD606" i="9"/>
  <c r="AE604" i="9"/>
  <c r="AE603" i="9"/>
  <c r="AW598" i="9" s="1"/>
  <c r="AE602" i="9"/>
  <c r="AV598" i="9" s="1"/>
  <c r="AE601" i="9"/>
  <c r="AU598" i="9" s="1"/>
  <c r="AE600" i="9"/>
  <c r="AT598" i="9" s="1"/>
  <c r="AE599" i="9"/>
  <c r="AX598" i="9"/>
  <c r="AS598" i="9"/>
  <c r="AR598" i="9"/>
  <c r="AP598" i="9"/>
  <c r="AE598" i="9"/>
  <c r="AG596" i="9"/>
  <c r="AD594" i="9"/>
  <c r="AE592" i="9"/>
  <c r="AE591" i="9"/>
  <c r="AE590" i="9"/>
  <c r="AV586" i="9" s="1"/>
  <c r="AE589" i="9"/>
  <c r="AU586" i="9" s="1"/>
  <c r="AE588" i="9"/>
  <c r="AE587" i="9"/>
  <c r="AX586" i="9"/>
  <c r="AW586" i="9"/>
  <c r="AT586" i="9"/>
  <c r="AS586" i="9"/>
  <c r="AP586" i="9"/>
  <c r="AE586" i="9"/>
  <c r="AR586" i="9" s="1"/>
  <c r="AG584" i="9"/>
  <c r="AD582" i="9"/>
  <c r="AE580" i="9"/>
  <c r="AX574" i="9" s="1"/>
  <c r="AE579" i="9"/>
  <c r="AE578" i="9"/>
  <c r="AE577" i="9"/>
  <c r="AU574" i="9" s="1"/>
  <c r="AE576" i="9"/>
  <c r="AT574" i="9" s="1"/>
  <c r="AE575" i="9"/>
  <c r="AW574" i="9"/>
  <c r="AV574" i="9"/>
  <c r="AS574" i="9"/>
  <c r="AP574" i="9"/>
  <c r="AE574" i="9"/>
  <c r="AR574" i="9" s="1"/>
  <c r="AG572" i="9"/>
  <c r="AD570" i="9"/>
  <c r="AE568" i="9"/>
  <c r="AX562" i="9" s="1"/>
  <c r="AE567" i="9"/>
  <c r="AW562" i="9" s="1"/>
  <c r="AE566" i="9"/>
  <c r="AV562" i="9" s="1"/>
  <c r="AE565" i="9"/>
  <c r="AU562" i="9" s="1"/>
  <c r="AE564" i="9"/>
  <c r="AE563" i="9"/>
  <c r="AS562" i="9" s="1"/>
  <c r="AT562" i="9"/>
  <c r="AP562" i="9"/>
  <c r="AE562" i="9"/>
  <c r="AR562" i="9" s="1"/>
  <c r="AG560" i="9"/>
  <c r="AD558" i="9"/>
  <c r="AE556" i="9"/>
  <c r="AX550" i="9" s="1"/>
  <c r="AE555" i="9"/>
  <c r="AE554" i="9"/>
  <c r="AE553" i="9"/>
  <c r="AU550" i="9" s="1"/>
  <c r="AE552" i="9"/>
  <c r="AT550" i="9" s="1"/>
  <c r="AE551" i="9"/>
  <c r="AW550" i="9"/>
  <c r="AV550" i="9"/>
  <c r="AS550" i="9"/>
  <c r="AP550" i="9"/>
  <c r="AE550" i="9"/>
  <c r="AR550" i="9" s="1"/>
  <c r="AG548" i="9"/>
  <c r="AD546" i="9"/>
  <c r="AE544" i="9"/>
  <c r="AX538" i="9" s="1"/>
  <c r="AE543" i="9"/>
  <c r="AW538" i="9" s="1"/>
  <c r="AE542" i="9"/>
  <c r="AV538" i="9" s="1"/>
  <c r="AE541" i="9"/>
  <c r="AU538" i="9" s="1"/>
  <c r="AE540" i="9"/>
  <c r="AT538" i="9" s="1"/>
  <c r="AE539" i="9"/>
  <c r="AS538" i="9" s="1"/>
  <c r="AP538" i="9"/>
  <c r="AE538" i="9"/>
  <c r="AR538" i="9" s="1"/>
  <c r="AG536" i="9"/>
  <c r="AD534" i="9"/>
  <c r="AE532" i="9"/>
  <c r="AX526" i="9" s="1"/>
  <c r="AE531" i="9"/>
  <c r="AW526" i="9" s="1"/>
  <c r="AE530" i="9"/>
  <c r="AV526" i="9" s="1"/>
  <c r="AE529" i="9"/>
  <c r="AE528" i="9"/>
  <c r="AE527" i="9"/>
  <c r="AS526" i="9" s="1"/>
  <c r="AU526" i="9"/>
  <c r="AT526" i="9"/>
  <c r="AP526" i="9"/>
  <c r="AE526" i="9"/>
  <c r="AR526" i="9" s="1"/>
  <c r="AG524" i="9"/>
  <c r="AD522" i="9"/>
  <c r="AE520" i="9"/>
  <c r="AX514" i="9" s="1"/>
  <c r="AE519" i="9"/>
  <c r="AE518" i="9"/>
  <c r="AE517" i="9"/>
  <c r="AU514" i="9" s="1"/>
  <c r="AE516" i="9"/>
  <c r="AT514" i="9" s="1"/>
  <c r="AE515" i="9"/>
  <c r="AW514" i="9"/>
  <c r="AV514" i="9"/>
  <c r="AS514" i="9"/>
  <c r="AP514" i="9"/>
  <c r="AE514" i="9"/>
  <c r="AR514" i="9" s="1"/>
  <c r="AG512" i="9"/>
  <c r="AD510" i="9"/>
  <c r="AE508" i="9"/>
  <c r="AE507" i="9"/>
  <c r="AW502" i="9" s="1"/>
  <c r="AE506" i="9"/>
  <c r="AV502" i="9" s="1"/>
  <c r="AE505" i="9"/>
  <c r="AU502" i="9" s="1"/>
  <c r="AE504" i="9"/>
  <c r="AE503" i="9"/>
  <c r="AS502" i="9" s="1"/>
  <c r="AX502" i="9"/>
  <c r="AT502" i="9"/>
  <c r="AP502" i="9"/>
  <c r="AE502" i="9"/>
  <c r="AR502" i="9" s="1"/>
  <c r="AG500" i="9"/>
  <c r="AD498" i="9"/>
  <c r="AE496" i="9"/>
  <c r="AX490" i="9" s="1"/>
  <c r="AE495" i="9"/>
  <c r="AW490" i="9" s="1"/>
  <c r="AE494" i="9"/>
  <c r="AE493" i="9"/>
  <c r="AU490" i="9" s="1"/>
  <c r="AE492" i="9"/>
  <c r="AT490" i="9" s="1"/>
  <c r="AE491" i="9"/>
  <c r="AV490" i="9"/>
  <c r="AS490" i="9"/>
  <c r="AP490" i="9"/>
  <c r="AE490" i="9"/>
  <c r="AR490" i="9" s="1"/>
  <c r="AG488" i="9"/>
  <c r="AD486" i="9"/>
  <c r="AE484" i="9"/>
  <c r="AE483" i="9"/>
  <c r="AW478" i="9" s="1"/>
  <c r="AE482" i="9"/>
  <c r="AV478" i="9" s="1"/>
  <c r="AE481" i="9"/>
  <c r="AU478" i="9" s="1"/>
  <c r="AE480" i="9"/>
  <c r="AE479" i="9"/>
  <c r="AS478" i="9" s="1"/>
  <c r="AX478" i="9"/>
  <c r="AT478" i="9"/>
  <c r="AP478" i="9"/>
  <c r="AE478" i="9"/>
  <c r="AR478" i="9" s="1"/>
  <c r="AG476" i="9"/>
  <c r="AD474" i="9"/>
  <c r="AE472" i="9"/>
  <c r="AX466" i="9" s="1"/>
  <c r="AE471" i="9"/>
  <c r="AW466" i="9" s="1"/>
  <c r="AE470" i="9"/>
  <c r="AE469" i="9"/>
  <c r="AU466" i="9" s="1"/>
  <c r="AE468" i="9"/>
  <c r="AT466" i="9" s="1"/>
  <c r="AE467" i="9"/>
  <c r="AV466" i="9"/>
  <c r="AS466" i="9"/>
  <c r="AP466" i="9"/>
  <c r="AE466" i="9"/>
  <c r="AR466" i="9" s="1"/>
  <c r="AG464" i="9"/>
  <c r="AD462" i="9"/>
  <c r="AE460" i="9"/>
  <c r="AE459" i="9"/>
  <c r="AW454" i="9" s="1"/>
  <c r="AE458" i="9"/>
  <c r="AV454" i="9" s="1"/>
  <c r="AE457" i="9"/>
  <c r="AU454" i="9" s="1"/>
  <c r="AE456" i="9"/>
  <c r="AE455" i="9"/>
  <c r="AS454" i="9" s="1"/>
  <c r="AX454" i="9"/>
  <c r="AT454" i="9"/>
  <c r="AP454" i="9"/>
  <c r="AE454" i="9"/>
  <c r="AR454" i="9" s="1"/>
  <c r="AG452" i="9"/>
  <c r="AD450" i="9"/>
  <c r="AE448" i="9"/>
  <c r="AX442" i="9" s="1"/>
  <c r="AE447" i="9"/>
  <c r="AW442" i="9" s="1"/>
  <c r="AE446" i="9"/>
  <c r="AE445" i="9"/>
  <c r="AU442" i="9" s="1"/>
  <c r="AE444" i="9"/>
  <c r="AT442" i="9" s="1"/>
  <c r="AE443" i="9"/>
  <c r="AV442" i="9"/>
  <c r="AS442" i="9"/>
  <c r="AP442" i="9"/>
  <c r="AE442" i="9"/>
  <c r="AR442" i="9" s="1"/>
  <c r="AG440" i="9"/>
  <c r="AD438" i="9"/>
  <c r="AE436" i="9"/>
  <c r="AE435" i="9"/>
  <c r="AW430" i="9" s="1"/>
  <c r="AE434" i="9"/>
  <c r="AV430" i="9" s="1"/>
  <c r="AE433" i="9"/>
  <c r="AU430" i="9" s="1"/>
  <c r="AE432" i="9"/>
  <c r="AE431" i="9"/>
  <c r="AS430" i="9" s="1"/>
  <c r="AX430" i="9"/>
  <c r="AT430" i="9"/>
  <c r="AP430" i="9"/>
  <c r="AE430" i="9"/>
  <c r="AR430" i="9" s="1"/>
  <c r="AG428" i="9"/>
  <c r="AD426" i="9"/>
  <c r="AE424" i="9"/>
  <c r="AX418" i="9" s="1"/>
  <c r="AE423" i="9"/>
  <c r="AE422" i="9"/>
  <c r="AE421" i="9"/>
  <c r="AU418" i="9" s="1"/>
  <c r="AE420" i="9"/>
  <c r="AT418" i="9" s="1"/>
  <c r="AE419" i="9"/>
  <c r="AW418" i="9"/>
  <c r="AV418" i="9"/>
  <c r="AS418" i="9"/>
  <c r="AP418" i="9"/>
  <c r="AE418" i="9"/>
  <c r="AR418" i="9" s="1"/>
  <c r="AG416" i="9"/>
  <c r="AD414" i="9"/>
  <c r="AE412" i="9"/>
  <c r="AE411" i="9"/>
  <c r="AW406" i="9" s="1"/>
  <c r="AE410" i="9"/>
  <c r="AV406" i="9" s="1"/>
  <c r="AE409" i="9"/>
  <c r="AU406" i="9" s="1"/>
  <c r="AE408" i="9"/>
  <c r="AE407" i="9"/>
  <c r="AS406" i="9" s="1"/>
  <c r="AX406" i="9"/>
  <c r="AT406" i="9"/>
  <c r="AP406" i="9"/>
  <c r="AE406" i="9"/>
  <c r="AR406" i="9" s="1"/>
  <c r="AG404" i="9"/>
  <c r="AD402" i="9"/>
  <c r="AE400" i="9"/>
  <c r="AX394" i="9" s="1"/>
  <c r="AE399" i="9"/>
  <c r="AE398" i="9"/>
  <c r="AE397" i="9"/>
  <c r="AU394" i="9" s="1"/>
  <c r="AE396" i="9"/>
  <c r="AT394" i="9" s="1"/>
  <c r="AE395" i="9"/>
  <c r="AW394" i="9"/>
  <c r="AV394" i="9"/>
  <c r="AS394" i="9"/>
  <c r="AP394" i="9"/>
  <c r="AE394" i="9"/>
  <c r="AR394" i="9" s="1"/>
  <c r="AG392" i="9"/>
  <c r="AD390" i="9"/>
  <c r="AE388" i="9"/>
  <c r="AE387" i="9"/>
  <c r="AW382" i="9" s="1"/>
  <c r="AE386" i="9"/>
  <c r="AV382" i="9" s="1"/>
  <c r="AE385" i="9"/>
  <c r="AU382" i="9" s="1"/>
  <c r="AE384" i="9"/>
  <c r="AT382" i="9" s="1"/>
  <c r="AE383" i="9"/>
  <c r="AS382" i="9" s="1"/>
  <c r="AX382" i="9"/>
  <c r="AR382" i="9"/>
  <c r="AP382" i="9"/>
  <c r="AE382" i="9"/>
  <c r="AG380" i="9"/>
  <c r="AD378" i="9"/>
  <c r="AE376" i="9"/>
  <c r="AX370" i="9" s="1"/>
  <c r="AE375" i="9"/>
  <c r="AE374" i="9"/>
  <c r="AV370" i="9" s="1"/>
  <c r="AE373" i="9"/>
  <c r="AU370" i="9" s="1"/>
  <c r="AE372" i="9"/>
  <c r="AE371" i="9"/>
  <c r="AW370" i="9"/>
  <c r="AT370" i="9"/>
  <c r="AS370" i="9"/>
  <c r="AP370" i="9"/>
  <c r="AE370" i="9"/>
  <c r="AR370" i="9" s="1"/>
  <c r="AG368" i="9"/>
  <c r="AD366" i="9"/>
  <c r="AE364" i="9"/>
  <c r="AX358" i="9" s="1"/>
  <c r="AE363" i="9"/>
  <c r="AW358" i="9" s="1"/>
  <c r="AE362" i="9"/>
  <c r="AE361" i="9"/>
  <c r="AE360" i="9"/>
  <c r="AT358" i="9" s="1"/>
  <c r="AE359" i="9"/>
  <c r="AS358" i="9" s="1"/>
  <c r="AV358" i="9"/>
  <c r="AU358" i="9"/>
  <c r="AP358" i="9"/>
  <c r="AE358" i="9"/>
  <c r="AR358" i="9" s="1"/>
  <c r="AG356" i="9"/>
  <c r="AD354" i="9"/>
  <c r="AE352" i="9"/>
  <c r="AX346" i="9" s="1"/>
  <c r="AE351" i="9"/>
  <c r="AW346" i="9" s="1"/>
  <c r="AE350" i="9"/>
  <c r="AV346" i="9" s="1"/>
  <c r="AE349" i="9"/>
  <c r="AU346" i="9" s="1"/>
  <c r="AE348" i="9"/>
  <c r="AE347" i="9"/>
  <c r="AT346" i="9"/>
  <c r="AS346" i="9"/>
  <c r="AP346" i="9"/>
  <c r="AE346" i="9"/>
  <c r="AR346" i="9" s="1"/>
  <c r="AG344" i="9"/>
  <c r="AD342" i="9"/>
  <c r="AE340" i="9"/>
  <c r="AX334" i="9" s="1"/>
  <c r="AE339" i="9"/>
  <c r="AW334" i="9" s="1"/>
  <c r="AE338" i="9"/>
  <c r="AE337" i="9"/>
  <c r="AE336" i="9"/>
  <c r="AT334" i="9" s="1"/>
  <c r="AE335" i="9"/>
  <c r="AS334" i="9" s="1"/>
  <c r="AV334" i="9"/>
  <c r="AU334" i="9"/>
  <c r="AP334" i="9"/>
  <c r="AE334" i="9"/>
  <c r="AR334" i="9" s="1"/>
  <c r="AG332" i="9"/>
  <c r="AD330" i="9"/>
  <c r="AE328" i="9"/>
  <c r="AE327" i="9"/>
  <c r="AW322" i="9" s="1"/>
  <c r="AE326" i="9"/>
  <c r="AV322" i="9" s="1"/>
  <c r="AE325" i="9"/>
  <c r="AU322" i="9" s="1"/>
  <c r="AE324" i="9"/>
  <c r="AE323" i="9"/>
  <c r="AS322" i="9" s="1"/>
  <c r="AX322" i="9"/>
  <c r="AT322" i="9"/>
  <c r="AP322" i="9"/>
  <c r="AE322" i="9"/>
  <c r="AR322" i="9" s="1"/>
  <c r="AG320" i="9"/>
  <c r="AD318" i="9"/>
  <c r="AE316" i="9"/>
  <c r="AX310" i="9" s="1"/>
  <c r="AE315" i="9"/>
  <c r="AW310" i="9" s="1"/>
  <c r="AE314" i="9"/>
  <c r="AE313" i="9"/>
  <c r="AE312" i="9"/>
  <c r="AT310" i="9" s="1"/>
  <c r="AE311" i="9"/>
  <c r="AS310" i="9" s="1"/>
  <c r="AV310" i="9"/>
  <c r="AU310" i="9"/>
  <c r="AP310" i="9"/>
  <c r="AE310" i="9"/>
  <c r="AR310" i="9" s="1"/>
  <c r="AG308" i="9"/>
  <c r="AD306" i="9"/>
  <c r="AE304" i="9"/>
  <c r="AE303" i="9"/>
  <c r="AW298" i="9" s="1"/>
  <c r="AE302" i="9"/>
  <c r="AV298" i="9" s="1"/>
  <c r="AE301" i="9"/>
  <c r="AU298" i="9" s="1"/>
  <c r="AE300" i="9"/>
  <c r="AE299" i="9"/>
  <c r="AX298" i="9"/>
  <c r="AT298" i="9"/>
  <c r="AS298" i="9"/>
  <c r="AP298" i="9"/>
  <c r="AE298" i="9"/>
  <c r="AR298" i="9" s="1"/>
  <c r="AG296" i="9"/>
  <c r="AD294" i="9"/>
  <c r="AE292" i="9"/>
  <c r="AX286" i="9" s="1"/>
  <c r="AE291" i="9"/>
  <c r="AW286" i="9" s="1"/>
  <c r="AE290" i="9"/>
  <c r="AE289" i="9"/>
  <c r="AE288" i="9"/>
  <c r="AT286" i="9" s="1"/>
  <c r="AE287" i="9"/>
  <c r="AS286" i="9" s="1"/>
  <c r="AV286" i="9"/>
  <c r="AU286" i="9"/>
  <c r="AR286" i="9"/>
  <c r="AP286" i="9"/>
  <c r="AE286" i="9"/>
  <c r="AG284" i="9"/>
  <c r="AD282" i="9"/>
  <c r="AE280" i="9"/>
  <c r="AE279" i="9"/>
  <c r="AE278" i="9"/>
  <c r="AV274" i="9" s="1"/>
  <c r="AE277" i="9"/>
  <c r="AU274" i="9" s="1"/>
  <c r="AE276" i="9"/>
  <c r="AE275" i="9"/>
  <c r="AX274" i="9"/>
  <c r="AW274" i="9"/>
  <c r="AT274" i="9"/>
  <c r="AS274" i="9"/>
  <c r="AP274" i="9"/>
  <c r="AE274" i="9"/>
  <c r="AR274" i="9" s="1"/>
  <c r="AG272" i="9"/>
  <c r="AD270" i="9"/>
  <c r="AE268" i="9"/>
  <c r="AX262" i="9" s="1"/>
  <c r="AE267" i="9"/>
  <c r="AW262" i="9" s="1"/>
  <c r="AE266" i="9"/>
  <c r="AE265" i="9"/>
  <c r="AE264" i="9"/>
  <c r="AT262" i="9" s="1"/>
  <c r="AE263" i="9"/>
  <c r="AS262" i="9" s="1"/>
  <c r="AV262" i="9"/>
  <c r="AU262" i="9"/>
  <c r="AR262" i="9"/>
  <c r="AP262" i="9"/>
  <c r="AE262" i="9"/>
  <c r="AG260" i="9"/>
  <c r="AD258" i="9"/>
  <c r="AE256" i="9"/>
  <c r="AX250" i="9" s="1"/>
  <c r="AE255" i="9"/>
  <c r="AE254" i="9"/>
  <c r="AE253" i="9"/>
  <c r="AU250" i="9" s="1"/>
  <c r="AE252" i="9"/>
  <c r="AT250" i="9" s="1"/>
  <c r="AE251" i="9"/>
  <c r="AS250" i="9" s="1"/>
  <c r="AW250" i="9"/>
  <c r="AV250" i="9"/>
  <c r="AP250" i="9"/>
  <c r="AE250" i="9"/>
  <c r="AR250" i="9" s="1"/>
  <c r="AG248" i="9"/>
  <c r="AD246" i="9"/>
  <c r="AE244" i="9"/>
  <c r="AX238" i="9" s="1"/>
  <c r="AE243" i="9"/>
  <c r="AW238" i="9" s="1"/>
  <c r="AE242" i="9"/>
  <c r="AE241" i="9"/>
  <c r="AE240" i="9"/>
  <c r="AT238" i="9" s="1"/>
  <c r="AE239" i="9"/>
  <c r="AS238" i="9" s="1"/>
  <c r="AV238" i="9"/>
  <c r="AU238" i="9"/>
  <c r="AR238" i="9"/>
  <c r="AP238" i="9"/>
  <c r="AE238" i="9"/>
  <c r="AG236" i="9"/>
  <c r="AD234" i="9"/>
  <c r="AE232" i="9"/>
  <c r="AX226" i="9" s="1"/>
  <c r="AE231" i="9"/>
  <c r="AE230" i="9"/>
  <c r="AE229" i="9"/>
  <c r="AU226" i="9" s="1"/>
  <c r="AE228" i="9"/>
  <c r="AT226" i="9" s="1"/>
  <c r="AE227" i="9"/>
  <c r="AS226" i="9" s="1"/>
  <c r="AW226" i="9"/>
  <c r="AV226" i="9"/>
  <c r="AP226" i="9"/>
  <c r="AE226" i="9"/>
  <c r="AR226" i="9" s="1"/>
  <c r="AG224" i="9"/>
  <c r="AD222" i="9"/>
  <c r="AE220" i="9"/>
  <c r="AX214" i="9" s="1"/>
  <c r="AE219" i="9"/>
  <c r="AW214" i="9" s="1"/>
  <c r="AE218" i="9"/>
  <c r="AE217" i="9"/>
  <c r="AE216" i="9"/>
  <c r="AT214" i="9" s="1"/>
  <c r="AE215" i="9"/>
  <c r="AS214" i="9" s="1"/>
  <c r="AV214" i="9"/>
  <c r="AU214" i="9"/>
  <c r="AR214" i="9"/>
  <c r="AP214" i="9"/>
  <c r="AE214" i="9"/>
  <c r="AG212" i="9"/>
  <c r="AD210" i="9"/>
  <c r="AE208" i="9"/>
  <c r="AX202" i="9" s="1"/>
  <c r="AE207" i="9"/>
  <c r="AE206" i="9"/>
  <c r="AE205" i="9"/>
  <c r="AU202" i="9" s="1"/>
  <c r="AE204" i="9"/>
  <c r="AT202" i="9" s="1"/>
  <c r="AE203" i="9"/>
  <c r="AS202" i="9" s="1"/>
  <c r="AW202" i="9"/>
  <c r="AV202" i="9"/>
  <c r="AP202" i="9"/>
  <c r="AE202" i="9"/>
  <c r="AR202" i="9" s="1"/>
  <c r="AG200" i="9"/>
  <c r="AD198" i="9"/>
  <c r="AE196" i="9"/>
  <c r="AX190" i="9" s="1"/>
  <c r="AE195" i="9"/>
  <c r="AW190" i="9" s="1"/>
  <c r="AE194" i="9"/>
  <c r="AV190" i="9" s="1"/>
  <c r="AE193" i="9"/>
  <c r="AE192" i="9"/>
  <c r="AT190" i="9" s="1"/>
  <c r="AE191" i="9"/>
  <c r="AS190" i="9" s="1"/>
  <c r="AU190" i="9"/>
  <c r="AP190" i="9"/>
  <c r="AE190" i="9"/>
  <c r="AR190" i="9" s="1"/>
  <c r="AG188" i="9"/>
  <c r="AD186" i="9"/>
  <c r="AE184" i="9"/>
  <c r="AX178" i="9" s="1"/>
  <c r="AE183" i="9"/>
  <c r="AE182" i="9"/>
  <c r="AE181" i="9"/>
  <c r="AU178" i="9" s="1"/>
  <c r="AE180" i="9"/>
  <c r="AT178" i="9" s="1"/>
  <c r="AE179" i="9"/>
  <c r="AW178" i="9"/>
  <c r="AV178" i="9"/>
  <c r="AS178" i="9"/>
  <c r="AP178" i="9"/>
  <c r="AE178" i="9"/>
  <c r="AR178" i="9" s="1"/>
  <c r="AG176" i="9"/>
  <c r="AD174" i="9"/>
  <c r="AE172" i="9"/>
  <c r="AE171" i="9"/>
  <c r="AW166" i="9" s="1"/>
  <c r="AE170" i="9"/>
  <c r="AV166" i="9" s="1"/>
  <c r="AE169" i="9"/>
  <c r="AU166" i="9" s="1"/>
  <c r="AE168" i="9"/>
  <c r="AT166" i="9" s="1"/>
  <c r="AE167" i="9"/>
  <c r="AS166" i="9" s="1"/>
  <c r="AX166" i="9"/>
  <c r="AP166" i="9"/>
  <c r="AE166" i="9"/>
  <c r="AR166" i="9" s="1"/>
  <c r="AG164" i="9"/>
  <c r="AD162" i="9"/>
  <c r="AE160" i="9"/>
  <c r="AX154" i="9" s="1"/>
  <c r="AE159" i="9"/>
  <c r="AW154" i="9" s="1"/>
  <c r="AE158" i="9"/>
  <c r="AE157" i="9"/>
  <c r="AU154" i="9" s="1"/>
  <c r="AE156" i="9"/>
  <c r="AT154" i="9" s="1"/>
  <c r="AE155" i="9"/>
  <c r="AS154" i="9" s="1"/>
  <c r="AV154" i="9"/>
  <c r="AP154" i="9"/>
  <c r="AE154" i="9"/>
  <c r="AR154" i="9" s="1"/>
  <c r="AG152" i="9"/>
  <c r="AD150" i="9"/>
  <c r="AE148" i="9"/>
  <c r="AE147" i="9"/>
  <c r="AW142" i="9" s="1"/>
  <c r="AE146" i="9"/>
  <c r="AV142" i="9" s="1"/>
  <c r="AE145" i="9"/>
  <c r="AU142" i="9" s="1"/>
  <c r="AE144" i="9"/>
  <c r="AT142" i="9" s="1"/>
  <c r="AE143" i="9"/>
  <c r="AS142" i="9" s="1"/>
  <c r="AX142" i="9"/>
  <c r="AP142" i="9"/>
  <c r="AE142" i="9"/>
  <c r="AR142" i="9" s="1"/>
  <c r="AG140" i="9"/>
  <c r="AD138" i="9"/>
  <c r="AE136" i="9"/>
  <c r="AX130" i="9" s="1"/>
  <c r="AE135" i="9"/>
  <c r="AW130" i="9" s="1"/>
  <c r="AE134" i="9"/>
  <c r="AE133" i="9"/>
  <c r="AU130" i="9" s="1"/>
  <c r="AE132" i="9"/>
  <c r="AT130" i="9" s="1"/>
  <c r="AE131" i="9"/>
  <c r="AV130" i="9"/>
  <c r="AS130" i="9"/>
  <c r="AP130" i="9"/>
  <c r="AE130" i="9"/>
  <c r="AR130" i="9" s="1"/>
  <c r="AG128" i="9"/>
  <c r="AD126" i="9"/>
  <c r="AE124" i="9"/>
  <c r="AE123" i="9"/>
  <c r="AW118" i="9" s="1"/>
  <c r="AE122" i="9"/>
  <c r="AV118" i="9" s="1"/>
  <c r="AE121" i="9"/>
  <c r="AU118" i="9" s="1"/>
  <c r="AE120" i="9"/>
  <c r="AT118" i="9" s="1"/>
  <c r="AE119" i="9"/>
  <c r="AS118" i="9" s="1"/>
  <c r="AX118" i="9"/>
  <c r="AP118" i="9"/>
  <c r="AE118" i="9"/>
  <c r="AR118" i="9" s="1"/>
  <c r="AG116" i="9"/>
  <c r="AD114" i="9"/>
  <c r="AE112" i="9"/>
  <c r="AE111" i="9"/>
  <c r="AW106" i="9" s="1"/>
  <c r="AE110" i="9"/>
  <c r="AV106" i="9" s="1"/>
  <c r="AE109" i="9"/>
  <c r="AU106" i="9" s="1"/>
  <c r="AE108" i="9"/>
  <c r="AT106" i="9" s="1"/>
  <c r="AE107" i="9"/>
  <c r="AX106" i="9"/>
  <c r="AS106" i="9"/>
  <c r="AP106" i="9"/>
  <c r="AE106" i="9"/>
  <c r="AR106" i="9" s="1"/>
  <c r="AG104" i="9"/>
  <c r="AD102" i="9"/>
  <c r="AE100" i="9"/>
  <c r="AX94" i="9" s="1"/>
  <c r="AE99" i="9"/>
  <c r="AW94" i="9" s="1"/>
  <c r="AE98" i="9"/>
  <c r="AE97" i="9"/>
  <c r="AU94" i="9" s="1"/>
  <c r="AE96" i="9"/>
  <c r="AT94" i="9" s="1"/>
  <c r="AE95" i="9"/>
  <c r="AS94" i="9" s="1"/>
  <c r="AV94" i="9"/>
  <c r="AP94" i="9"/>
  <c r="AE94" i="9"/>
  <c r="AR94" i="9" s="1"/>
  <c r="AG92" i="9"/>
  <c r="AD90" i="9"/>
  <c r="AE88" i="9"/>
  <c r="AE87" i="9"/>
  <c r="AE86" i="9"/>
  <c r="AV82" i="9" s="1"/>
  <c r="AE85" i="9"/>
  <c r="AU82" i="9" s="1"/>
  <c r="AE84" i="9"/>
  <c r="AT82" i="9" s="1"/>
  <c r="AE83" i="9"/>
  <c r="AX82" i="9"/>
  <c r="AW82" i="9"/>
  <c r="AS82" i="9"/>
  <c r="AP82" i="9"/>
  <c r="AE82" i="9"/>
  <c r="AR82" i="9" s="1"/>
  <c r="AG80" i="9"/>
  <c r="AD78" i="9"/>
  <c r="AE76" i="9"/>
  <c r="AX70" i="9" s="1"/>
  <c r="AE75" i="9"/>
  <c r="AW70" i="9" s="1"/>
  <c r="AE74" i="9"/>
  <c r="AE73" i="9"/>
  <c r="AU70" i="9" s="1"/>
  <c r="AE72" i="9"/>
  <c r="AT70" i="9" s="1"/>
  <c r="AE71" i="9"/>
  <c r="AS70" i="9" s="1"/>
  <c r="AV70" i="9"/>
  <c r="AP70" i="9"/>
  <c r="AE70" i="9"/>
  <c r="AR70" i="9" s="1"/>
  <c r="AG68" i="9"/>
  <c r="AD66" i="9"/>
  <c r="AE64" i="9"/>
  <c r="AX58" i="9" s="1"/>
  <c r="AE63" i="9"/>
  <c r="AW58" i="9" s="1"/>
  <c r="AE62" i="9"/>
  <c r="AE61" i="9"/>
  <c r="AU58" i="9" s="1"/>
  <c r="AE60" i="9"/>
  <c r="AT58" i="9" s="1"/>
  <c r="AE59" i="9"/>
  <c r="AS58" i="9" s="1"/>
  <c r="AV58" i="9"/>
  <c r="AP58" i="9"/>
  <c r="AE58" i="9"/>
  <c r="AR58" i="9" s="1"/>
  <c r="AG56" i="9"/>
  <c r="AF55" i="9"/>
  <c r="AF67" i="9" s="1"/>
  <c r="AF79" i="9" s="1"/>
  <c r="AF91" i="9" s="1"/>
  <c r="AF103" i="9" s="1"/>
  <c r="AF115" i="9" s="1"/>
  <c r="AF127" i="9" s="1"/>
  <c r="AF139" i="9" s="1"/>
  <c r="AF151" i="9" s="1"/>
  <c r="AF163" i="9" s="1"/>
  <c r="AF175" i="9" s="1"/>
  <c r="AF187" i="9" s="1"/>
  <c r="AF199" i="9" s="1"/>
  <c r="AF211" i="9" s="1"/>
  <c r="AF223" i="9" s="1"/>
  <c r="AF235" i="9" s="1"/>
  <c r="AF247" i="9" s="1"/>
  <c r="AF259" i="9" s="1"/>
  <c r="AF271" i="9" s="1"/>
  <c r="AF283" i="9" s="1"/>
  <c r="AF295" i="9" s="1"/>
  <c r="AF307" i="9" s="1"/>
  <c r="AF319" i="9" s="1"/>
  <c r="AF331" i="9" s="1"/>
  <c r="AF343" i="9" s="1"/>
  <c r="AF355" i="9" s="1"/>
  <c r="AF367" i="9" s="1"/>
  <c r="AF379" i="9" s="1"/>
  <c r="AF391" i="9" s="1"/>
  <c r="AF403" i="9" s="1"/>
  <c r="AF415" i="9" s="1"/>
  <c r="AF427" i="9" s="1"/>
  <c r="AF439" i="9" s="1"/>
  <c r="AF451" i="9" s="1"/>
  <c r="AF463" i="9" s="1"/>
  <c r="AF475" i="9" s="1"/>
  <c r="AF487" i="9" s="1"/>
  <c r="AF499" i="9" s="1"/>
  <c r="AF511" i="9" s="1"/>
  <c r="AF523" i="9" s="1"/>
  <c r="AF535" i="9" s="1"/>
  <c r="AF547" i="9" s="1"/>
  <c r="AF559" i="9" s="1"/>
  <c r="AF571" i="9" s="1"/>
  <c r="AF583" i="9" s="1"/>
  <c r="AF595" i="9" s="1"/>
  <c r="AF607" i="9" s="1"/>
  <c r="AF619" i="9" s="1"/>
  <c r="AF631" i="9" s="1"/>
  <c r="AF643" i="9" s="1"/>
  <c r="AF655" i="9" s="1"/>
  <c r="AF667" i="9" s="1"/>
  <c r="AF679" i="9" s="1"/>
  <c r="AF691" i="9" s="1"/>
  <c r="AF703" i="9" s="1"/>
  <c r="AF715" i="9" s="1"/>
  <c r="AF727" i="9" s="1"/>
  <c r="AF739" i="9" s="1"/>
  <c r="AF751" i="9" s="1"/>
  <c r="AF763" i="9" s="1"/>
  <c r="AF775" i="9" s="1"/>
  <c r="AF787" i="9" s="1"/>
  <c r="AF799" i="9" s="1"/>
  <c r="AF811" i="9" s="1"/>
  <c r="AF823" i="9" s="1"/>
  <c r="AF835" i="9" s="1"/>
  <c r="AF847" i="9" s="1"/>
  <c r="AF859" i="9" s="1"/>
  <c r="AF871" i="9" s="1"/>
  <c r="AF883" i="9" s="1"/>
  <c r="AF895" i="9" s="1"/>
  <c r="AF907" i="9" s="1"/>
  <c r="AF919" i="9" s="1"/>
  <c r="AF931" i="9" s="1"/>
  <c r="AF943" i="9" s="1"/>
  <c r="AF955" i="9" s="1"/>
  <c r="AF967" i="9" s="1"/>
  <c r="AF979" i="9" s="1"/>
  <c r="AF991" i="9" s="1"/>
  <c r="AF1003" i="9" s="1"/>
  <c r="AF1015" i="9" s="1"/>
  <c r="AF1027" i="9" s="1"/>
  <c r="AF1039" i="9" s="1"/>
  <c r="AF1051" i="9" s="1"/>
  <c r="AF1063" i="9" s="1"/>
  <c r="AF1075" i="9" s="1"/>
  <c r="AF1087" i="9" s="1"/>
  <c r="AF1099" i="9" s="1"/>
  <c r="AF1111" i="9" s="1"/>
  <c r="AF1123" i="9" s="1"/>
  <c r="AF1135" i="9" s="1"/>
  <c r="AF1147" i="9" s="1"/>
  <c r="AF1159" i="9" s="1"/>
  <c r="AF1171" i="9" s="1"/>
  <c r="AF1183" i="9" s="1"/>
  <c r="AF1195" i="9" s="1"/>
  <c r="AF1207" i="9" s="1"/>
  <c r="AF1219" i="9" s="1"/>
  <c r="AF1231" i="9" s="1"/>
  <c r="AD54" i="9"/>
  <c r="AE52" i="9"/>
  <c r="AX46" i="9" s="1"/>
  <c r="AE51" i="9"/>
  <c r="AW46" i="9" s="1"/>
  <c r="AE50" i="9"/>
  <c r="AV46" i="9" s="1"/>
  <c r="AE49" i="9"/>
  <c r="AU46" i="9" s="1"/>
  <c r="AE48" i="9"/>
  <c r="AT46" i="9" s="1"/>
  <c r="AE47" i="9"/>
  <c r="AS46" i="9" s="1"/>
  <c r="AP46" i="9"/>
  <c r="AE46" i="9"/>
  <c r="AR46" i="9" s="1"/>
  <c r="AG44" i="9"/>
  <c r="AD42" i="9"/>
  <c r="AS14" i="9"/>
  <c r="AR14" i="9"/>
  <c r="E1240" i="9"/>
  <c r="E1239" i="9"/>
  <c r="E1238" i="9"/>
  <c r="E1237" i="9"/>
  <c r="U1234" i="9" s="1"/>
  <c r="E1236" i="9"/>
  <c r="E1235" i="9"/>
  <c r="E1234" i="9"/>
  <c r="G1232" i="9"/>
  <c r="D1230" i="9"/>
  <c r="E1228" i="9"/>
  <c r="E1227" i="9"/>
  <c r="W1222" i="9" s="1"/>
  <c r="E1226" i="9"/>
  <c r="E1225" i="9"/>
  <c r="E1224" i="9"/>
  <c r="E1223" i="9"/>
  <c r="S1222" i="9" s="1"/>
  <c r="E1222" i="9"/>
  <c r="G1220" i="9"/>
  <c r="D1218" i="9"/>
  <c r="E1216" i="9"/>
  <c r="E1215" i="9"/>
  <c r="E1214" i="9"/>
  <c r="E1213" i="9"/>
  <c r="U1210" i="9" s="1"/>
  <c r="E1212" i="9"/>
  <c r="E1211" i="9"/>
  <c r="E1210" i="9"/>
  <c r="G1208" i="9"/>
  <c r="D1206" i="9"/>
  <c r="E1204" i="9"/>
  <c r="E1203" i="9"/>
  <c r="E1202" i="9"/>
  <c r="E1201" i="9"/>
  <c r="U1198" i="9" s="1"/>
  <c r="E1200" i="9"/>
  <c r="E1199" i="9"/>
  <c r="E1198" i="9"/>
  <c r="G1196" i="9"/>
  <c r="D1194" i="9"/>
  <c r="E1192" i="9"/>
  <c r="E1191" i="9"/>
  <c r="E1190" i="9"/>
  <c r="E1189" i="9"/>
  <c r="E1188" i="9"/>
  <c r="E1187" i="9"/>
  <c r="E1186" i="9"/>
  <c r="G1184" i="9"/>
  <c r="D1182" i="9"/>
  <c r="E1180" i="9"/>
  <c r="E1179" i="9"/>
  <c r="E1178" i="9"/>
  <c r="E1177" i="9"/>
  <c r="U1174" i="9" s="1"/>
  <c r="E1176" i="9"/>
  <c r="E1175" i="9"/>
  <c r="E1174" i="9"/>
  <c r="G1172" i="9"/>
  <c r="D1170" i="9"/>
  <c r="E1168" i="9"/>
  <c r="E1167" i="9"/>
  <c r="E1166" i="9"/>
  <c r="E1165" i="9"/>
  <c r="E1164" i="9"/>
  <c r="E1163" i="9"/>
  <c r="E1162" i="9"/>
  <c r="G1160" i="9"/>
  <c r="D1158" i="9"/>
  <c r="E1156" i="9"/>
  <c r="E1155" i="9"/>
  <c r="E1154" i="9"/>
  <c r="E1153" i="9"/>
  <c r="U1150" i="9" s="1"/>
  <c r="E1152" i="9"/>
  <c r="E1151" i="9"/>
  <c r="E1150" i="9"/>
  <c r="G1148" i="9"/>
  <c r="D1146" i="9"/>
  <c r="E1144" i="9"/>
  <c r="E1143" i="9"/>
  <c r="E1142" i="9"/>
  <c r="E1141" i="9"/>
  <c r="E1140" i="9"/>
  <c r="E1139" i="9"/>
  <c r="E1138" i="9"/>
  <c r="G1136" i="9"/>
  <c r="D1134" i="9"/>
  <c r="E1132" i="9"/>
  <c r="E1131" i="9"/>
  <c r="E1130" i="9"/>
  <c r="E1129" i="9"/>
  <c r="U1126" i="9" s="1"/>
  <c r="E1128" i="9"/>
  <c r="E1127" i="9"/>
  <c r="E1126" i="9"/>
  <c r="G1124" i="9"/>
  <c r="D1122" i="9"/>
  <c r="E1120" i="9"/>
  <c r="E1119" i="9"/>
  <c r="E1118" i="9"/>
  <c r="E1117" i="9"/>
  <c r="E1116" i="9"/>
  <c r="E1115" i="9"/>
  <c r="E1114" i="9"/>
  <c r="G1112" i="9"/>
  <c r="D1110" i="9"/>
  <c r="E1108" i="9"/>
  <c r="E1107" i="9"/>
  <c r="E1106" i="9"/>
  <c r="E1105" i="9"/>
  <c r="U1102" i="9" s="1"/>
  <c r="E1104" i="9"/>
  <c r="E1103" i="9"/>
  <c r="E1102" i="9"/>
  <c r="G1100" i="9"/>
  <c r="D1098" i="9"/>
  <c r="E1096" i="9"/>
  <c r="E1095" i="9"/>
  <c r="E1094" i="9"/>
  <c r="E1093" i="9"/>
  <c r="E1092" i="9"/>
  <c r="E1091" i="9"/>
  <c r="E1090" i="9"/>
  <c r="G1088" i="9"/>
  <c r="D1086" i="9"/>
  <c r="E1084" i="9"/>
  <c r="E1083" i="9"/>
  <c r="E1082" i="9"/>
  <c r="E1081" i="9"/>
  <c r="U1078" i="9" s="1"/>
  <c r="E1080" i="9"/>
  <c r="E1079" i="9"/>
  <c r="E1078" i="9"/>
  <c r="G1076" i="9"/>
  <c r="D1074" i="9"/>
  <c r="E1072" i="9"/>
  <c r="E1071" i="9"/>
  <c r="E1070" i="9"/>
  <c r="E1069" i="9"/>
  <c r="E1068" i="9"/>
  <c r="E1067" i="9"/>
  <c r="E1066" i="9"/>
  <c r="G1064" i="9"/>
  <c r="D1062" i="9"/>
  <c r="E1060" i="9"/>
  <c r="E1059" i="9"/>
  <c r="E1058" i="9"/>
  <c r="E1057" i="9"/>
  <c r="U1054" i="9" s="1"/>
  <c r="E1056" i="9"/>
  <c r="E1055" i="9"/>
  <c r="E1054" i="9"/>
  <c r="G1052" i="9"/>
  <c r="D1050" i="9"/>
  <c r="E1048" i="9"/>
  <c r="E1047" i="9"/>
  <c r="E1046" i="9"/>
  <c r="E1045" i="9"/>
  <c r="E1044" i="9"/>
  <c r="E1043" i="9"/>
  <c r="E1042" i="9"/>
  <c r="G1040" i="9"/>
  <c r="D1038" i="9"/>
  <c r="E1036" i="9"/>
  <c r="E1035" i="9"/>
  <c r="E1034" i="9"/>
  <c r="E1033" i="9"/>
  <c r="U1030" i="9" s="1"/>
  <c r="E1032" i="9"/>
  <c r="E1031" i="9"/>
  <c r="E1030" i="9"/>
  <c r="G1028" i="9"/>
  <c r="D1026" i="9"/>
  <c r="E1024" i="9"/>
  <c r="E1023" i="9"/>
  <c r="E1022" i="9"/>
  <c r="E1021" i="9"/>
  <c r="E1020" i="9"/>
  <c r="E1019" i="9"/>
  <c r="E1018" i="9"/>
  <c r="G1016" i="9"/>
  <c r="D1014" i="9"/>
  <c r="E1012" i="9"/>
  <c r="E1011" i="9"/>
  <c r="E1010" i="9"/>
  <c r="V1006" i="9" s="1"/>
  <c r="E1009" i="9"/>
  <c r="U1006" i="9" s="1"/>
  <c r="E1008" i="9"/>
  <c r="E1007" i="9"/>
  <c r="E1006" i="9"/>
  <c r="R1006" i="9" s="1"/>
  <c r="G1004" i="9"/>
  <c r="D1002" i="9"/>
  <c r="E1000" i="9"/>
  <c r="E999" i="9"/>
  <c r="E998" i="9"/>
  <c r="E997" i="9"/>
  <c r="E996" i="9"/>
  <c r="E995" i="9"/>
  <c r="E994" i="9"/>
  <c r="G992" i="9"/>
  <c r="D990" i="9"/>
  <c r="E988" i="9"/>
  <c r="E987" i="9"/>
  <c r="E986" i="9"/>
  <c r="V982" i="9" s="1"/>
  <c r="E985" i="9"/>
  <c r="U982" i="9" s="1"/>
  <c r="E984" i="9"/>
  <c r="E983" i="9"/>
  <c r="E982" i="9"/>
  <c r="R982" i="9" s="1"/>
  <c r="G980" i="9"/>
  <c r="D978" i="9"/>
  <c r="E976" i="9"/>
  <c r="E975" i="9"/>
  <c r="E974" i="9"/>
  <c r="E973" i="9"/>
  <c r="E972" i="9"/>
  <c r="E971" i="9"/>
  <c r="E970" i="9"/>
  <c r="G968" i="9"/>
  <c r="D966" i="9"/>
  <c r="E964" i="9"/>
  <c r="E963" i="9"/>
  <c r="E962" i="9"/>
  <c r="V958" i="9" s="1"/>
  <c r="E961" i="9"/>
  <c r="U958" i="9" s="1"/>
  <c r="E960" i="9"/>
  <c r="E959" i="9"/>
  <c r="E958" i="9"/>
  <c r="R958" i="9" s="1"/>
  <c r="G956" i="9"/>
  <c r="D954" i="9"/>
  <c r="E952" i="9"/>
  <c r="E951" i="9"/>
  <c r="E950" i="9"/>
  <c r="E949" i="9"/>
  <c r="E948" i="9"/>
  <c r="E947" i="9"/>
  <c r="E946" i="9"/>
  <c r="G944" i="9"/>
  <c r="D942" i="9"/>
  <c r="E940" i="9"/>
  <c r="E939" i="9"/>
  <c r="E938" i="9"/>
  <c r="V934" i="9" s="1"/>
  <c r="E937" i="9"/>
  <c r="U934" i="9" s="1"/>
  <c r="E936" i="9"/>
  <c r="E935" i="9"/>
  <c r="E934" i="9"/>
  <c r="R934" i="9" s="1"/>
  <c r="G932" i="9"/>
  <c r="D930" i="9"/>
  <c r="E928" i="9"/>
  <c r="E927" i="9"/>
  <c r="E926" i="9"/>
  <c r="E925" i="9"/>
  <c r="E924" i="9"/>
  <c r="E923" i="9"/>
  <c r="E922" i="9"/>
  <c r="G920" i="9"/>
  <c r="D918" i="9"/>
  <c r="E916" i="9"/>
  <c r="E915" i="9"/>
  <c r="E914" i="9"/>
  <c r="V910" i="9" s="1"/>
  <c r="E913" i="9"/>
  <c r="U910" i="9" s="1"/>
  <c r="E912" i="9"/>
  <c r="E911" i="9"/>
  <c r="E910" i="9"/>
  <c r="R910" i="9" s="1"/>
  <c r="G908" i="9"/>
  <c r="D906" i="9"/>
  <c r="E904" i="9"/>
  <c r="E903" i="9"/>
  <c r="E902" i="9"/>
  <c r="E901" i="9"/>
  <c r="E900" i="9"/>
  <c r="E899" i="9"/>
  <c r="E898" i="9"/>
  <c r="G896" i="9"/>
  <c r="D894" i="9"/>
  <c r="E892" i="9"/>
  <c r="E891" i="9"/>
  <c r="E890" i="9"/>
  <c r="V886" i="9" s="1"/>
  <c r="E889" i="9"/>
  <c r="U886" i="9" s="1"/>
  <c r="E888" i="9"/>
  <c r="E887" i="9"/>
  <c r="E886" i="9"/>
  <c r="R886" i="9" s="1"/>
  <c r="G884" i="9"/>
  <c r="D882" i="9"/>
  <c r="E880" i="9"/>
  <c r="E879" i="9"/>
  <c r="E878" i="9"/>
  <c r="E877" i="9"/>
  <c r="E876" i="9"/>
  <c r="E875" i="9"/>
  <c r="E874" i="9"/>
  <c r="G872" i="9"/>
  <c r="D870" i="9"/>
  <c r="E868" i="9"/>
  <c r="E867" i="9"/>
  <c r="E866" i="9"/>
  <c r="V862" i="9" s="1"/>
  <c r="E865" i="9"/>
  <c r="U862" i="9" s="1"/>
  <c r="E864" i="9"/>
  <c r="E863" i="9"/>
  <c r="E862" i="9"/>
  <c r="R862" i="9" s="1"/>
  <c r="G860" i="9"/>
  <c r="D858" i="9"/>
  <c r="E856" i="9"/>
  <c r="E855" i="9"/>
  <c r="E854" i="9"/>
  <c r="E853" i="9"/>
  <c r="E852" i="9"/>
  <c r="E851" i="9"/>
  <c r="E850" i="9"/>
  <c r="G848" i="9"/>
  <c r="D846" i="9"/>
  <c r="E844" i="9"/>
  <c r="E843" i="9"/>
  <c r="E842" i="9"/>
  <c r="V838" i="9" s="1"/>
  <c r="E841" i="9"/>
  <c r="U838" i="9" s="1"/>
  <c r="E840" i="9"/>
  <c r="E839" i="9"/>
  <c r="S838" i="9" s="1"/>
  <c r="E838" i="9"/>
  <c r="R838" i="9" s="1"/>
  <c r="G836" i="9"/>
  <c r="D834" i="9"/>
  <c r="E832" i="9"/>
  <c r="E831" i="9"/>
  <c r="E830" i="9"/>
  <c r="E829" i="9"/>
  <c r="E828" i="9"/>
  <c r="E827" i="9"/>
  <c r="E826" i="9"/>
  <c r="G824" i="9"/>
  <c r="D822" i="9"/>
  <c r="E820" i="9"/>
  <c r="E819" i="9"/>
  <c r="E818" i="9"/>
  <c r="V814" i="9" s="1"/>
  <c r="E817" i="9"/>
  <c r="U814" i="9" s="1"/>
  <c r="E816" i="9"/>
  <c r="E815" i="9"/>
  <c r="E814" i="9"/>
  <c r="R814" i="9" s="1"/>
  <c r="G812" i="9"/>
  <c r="D810" i="9"/>
  <c r="E808" i="9"/>
  <c r="X802" i="9" s="1"/>
  <c r="E807" i="9"/>
  <c r="W802" i="9" s="1"/>
  <c r="E806" i="9"/>
  <c r="E805" i="9"/>
  <c r="E804" i="9"/>
  <c r="T802" i="9" s="1"/>
  <c r="E803" i="9"/>
  <c r="S802" i="9" s="1"/>
  <c r="E802" i="9"/>
  <c r="G800" i="9"/>
  <c r="D798" i="9"/>
  <c r="E796" i="9"/>
  <c r="E795" i="9"/>
  <c r="E794" i="9"/>
  <c r="E793" i="9"/>
  <c r="U790" i="9" s="1"/>
  <c r="E792" i="9"/>
  <c r="T790" i="9" s="1"/>
  <c r="E791" i="9"/>
  <c r="E790" i="9"/>
  <c r="G788" i="9"/>
  <c r="D786" i="9"/>
  <c r="E784" i="9"/>
  <c r="X778" i="9" s="1"/>
  <c r="E783" i="9"/>
  <c r="W778" i="9" s="1"/>
  <c r="E782" i="9"/>
  <c r="E781" i="9"/>
  <c r="E780" i="9"/>
  <c r="T778" i="9" s="1"/>
  <c r="E779" i="9"/>
  <c r="S778" i="9" s="1"/>
  <c r="E778" i="9"/>
  <c r="G776" i="9"/>
  <c r="D774" i="9"/>
  <c r="E772" i="9"/>
  <c r="E771" i="9"/>
  <c r="E770" i="9"/>
  <c r="E769" i="9"/>
  <c r="U766" i="9" s="1"/>
  <c r="E768" i="9"/>
  <c r="E767" i="9"/>
  <c r="E766" i="9"/>
  <c r="G764" i="9"/>
  <c r="D762" i="9"/>
  <c r="E760" i="9"/>
  <c r="X754" i="9" s="1"/>
  <c r="E759" i="9"/>
  <c r="W754" i="9" s="1"/>
  <c r="E758" i="9"/>
  <c r="E757" i="9"/>
  <c r="E756" i="9"/>
  <c r="T754" i="9" s="1"/>
  <c r="E755" i="9"/>
  <c r="S754" i="9" s="1"/>
  <c r="E754" i="9"/>
  <c r="G752" i="9"/>
  <c r="D750" i="9"/>
  <c r="E748" i="9"/>
  <c r="X742" i="9" s="1"/>
  <c r="E747" i="9"/>
  <c r="E746" i="9"/>
  <c r="E745" i="9"/>
  <c r="U742" i="9" s="1"/>
  <c r="E744" i="9"/>
  <c r="E743" i="9"/>
  <c r="E742" i="9"/>
  <c r="G740" i="9"/>
  <c r="D738" i="9"/>
  <c r="E736" i="9"/>
  <c r="X730" i="9" s="1"/>
  <c r="E735" i="9"/>
  <c r="W730" i="9" s="1"/>
  <c r="E734" i="9"/>
  <c r="V730" i="9" s="1"/>
  <c r="E733" i="9"/>
  <c r="U730" i="9" s="1"/>
  <c r="E732" i="9"/>
  <c r="T730" i="9" s="1"/>
  <c r="E731" i="9"/>
  <c r="S730" i="9" s="1"/>
  <c r="E730" i="9"/>
  <c r="R730" i="9" s="1"/>
  <c r="G728" i="9"/>
  <c r="D726" i="9"/>
  <c r="E724" i="9"/>
  <c r="E723" i="9"/>
  <c r="W718" i="9" s="1"/>
  <c r="E722" i="9"/>
  <c r="V718" i="9" s="1"/>
  <c r="E721" i="9"/>
  <c r="U718" i="9" s="1"/>
  <c r="E720" i="9"/>
  <c r="E719" i="9"/>
  <c r="E718" i="9"/>
  <c r="R718" i="9" s="1"/>
  <c r="G716" i="9"/>
  <c r="D714" i="9"/>
  <c r="E712" i="9"/>
  <c r="X706" i="9" s="1"/>
  <c r="E711" i="9"/>
  <c r="W706" i="9" s="1"/>
  <c r="E710" i="9"/>
  <c r="E709" i="9"/>
  <c r="E708" i="9"/>
  <c r="T706" i="9" s="1"/>
  <c r="E707" i="9"/>
  <c r="S706" i="9" s="1"/>
  <c r="E706" i="9"/>
  <c r="G704" i="9"/>
  <c r="D702" i="9"/>
  <c r="E700" i="9"/>
  <c r="E699" i="9"/>
  <c r="E698" i="9"/>
  <c r="E697" i="9"/>
  <c r="U694" i="9" s="1"/>
  <c r="E696" i="9"/>
  <c r="T694" i="9" s="1"/>
  <c r="E695" i="9"/>
  <c r="E694" i="9"/>
  <c r="G692" i="9"/>
  <c r="D690" i="9"/>
  <c r="E688" i="9"/>
  <c r="X682" i="9" s="1"/>
  <c r="E687" i="9"/>
  <c r="W682" i="9" s="1"/>
  <c r="E686" i="9"/>
  <c r="E685" i="9"/>
  <c r="E684" i="9"/>
  <c r="T682" i="9" s="1"/>
  <c r="E683" i="9"/>
  <c r="S682" i="9" s="1"/>
  <c r="E682" i="9"/>
  <c r="R682" i="9" s="1"/>
  <c r="G680" i="9"/>
  <c r="D678" i="9"/>
  <c r="E676" i="9"/>
  <c r="E675" i="9"/>
  <c r="W670" i="9" s="1"/>
  <c r="E674" i="9"/>
  <c r="E673" i="9"/>
  <c r="U670" i="9" s="1"/>
  <c r="E672" i="9"/>
  <c r="E671" i="9"/>
  <c r="E670" i="9"/>
  <c r="G668" i="9"/>
  <c r="D666" i="9"/>
  <c r="E664" i="9"/>
  <c r="X658" i="9" s="1"/>
  <c r="E663" i="9"/>
  <c r="W658" i="9" s="1"/>
  <c r="E662" i="9"/>
  <c r="E661" i="9"/>
  <c r="E660" i="9"/>
  <c r="T658" i="9" s="1"/>
  <c r="E659" i="9"/>
  <c r="S658" i="9" s="1"/>
  <c r="E658" i="9"/>
  <c r="G656" i="9"/>
  <c r="D654" i="9"/>
  <c r="E652" i="9"/>
  <c r="X646" i="9" s="1"/>
  <c r="E651" i="9"/>
  <c r="E650" i="9"/>
  <c r="E649" i="9"/>
  <c r="U646" i="9" s="1"/>
  <c r="E648" i="9"/>
  <c r="E647" i="9"/>
  <c r="E646" i="9"/>
  <c r="G644" i="9"/>
  <c r="D642" i="9"/>
  <c r="E640" i="9"/>
  <c r="X634" i="9" s="1"/>
  <c r="E639" i="9"/>
  <c r="W634" i="9" s="1"/>
  <c r="E638" i="9"/>
  <c r="V634" i="9" s="1"/>
  <c r="E637" i="9"/>
  <c r="U634" i="9" s="1"/>
  <c r="E636" i="9"/>
  <c r="T634" i="9" s="1"/>
  <c r="E635" i="9"/>
  <c r="S634" i="9" s="1"/>
  <c r="E634" i="9"/>
  <c r="R634" i="9" s="1"/>
  <c r="G632" i="9"/>
  <c r="D630" i="9"/>
  <c r="E628" i="9"/>
  <c r="E627" i="9"/>
  <c r="W622" i="9" s="1"/>
  <c r="E626" i="9"/>
  <c r="V622" i="9" s="1"/>
  <c r="E625" i="9"/>
  <c r="U622" i="9" s="1"/>
  <c r="E624" i="9"/>
  <c r="E623" i="9"/>
  <c r="S622" i="9" s="1"/>
  <c r="E622" i="9"/>
  <c r="R622" i="9" s="1"/>
  <c r="G620" i="9"/>
  <c r="D618" i="9"/>
  <c r="E616" i="9"/>
  <c r="X610" i="9" s="1"/>
  <c r="E615" i="9"/>
  <c r="W610" i="9" s="1"/>
  <c r="E614" i="9"/>
  <c r="E613" i="9"/>
  <c r="E612" i="9"/>
  <c r="T610" i="9" s="1"/>
  <c r="E611" i="9"/>
  <c r="S610" i="9" s="1"/>
  <c r="E610" i="9"/>
  <c r="G608" i="9"/>
  <c r="D606" i="9"/>
  <c r="E604" i="9"/>
  <c r="E603" i="9"/>
  <c r="E602" i="9"/>
  <c r="E601" i="9"/>
  <c r="U598" i="9" s="1"/>
  <c r="E600" i="9"/>
  <c r="T598" i="9" s="1"/>
  <c r="E599" i="9"/>
  <c r="E598" i="9"/>
  <c r="G596" i="9"/>
  <c r="D594" i="9"/>
  <c r="E592" i="9"/>
  <c r="X586" i="9" s="1"/>
  <c r="E591" i="9"/>
  <c r="W586" i="9" s="1"/>
  <c r="E590" i="9"/>
  <c r="V586" i="9" s="1"/>
  <c r="E589" i="9"/>
  <c r="E588" i="9"/>
  <c r="T586" i="9" s="1"/>
  <c r="E587" i="9"/>
  <c r="S586" i="9" s="1"/>
  <c r="E586" i="9"/>
  <c r="R586" i="9" s="1"/>
  <c r="G584" i="9"/>
  <c r="D582" i="9"/>
  <c r="E580" i="9"/>
  <c r="E579" i="9"/>
  <c r="E578" i="9"/>
  <c r="E577" i="9"/>
  <c r="U574" i="9" s="1"/>
  <c r="E576" i="9"/>
  <c r="E575" i="9"/>
  <c r="S574" i="9" s="1"/>
  <c r="E574" i="9"/>
  <c r="G572" i="9"/>
  <c r="D570" i="9"/>
  <c r="E568" i="9"/>
  <c r="X562" i="9" s="1"/>
  <c r="E567" i="9"/>
  <c r="W562" i="9" s="1"/>
  <c r="E566" i="9"/>
  <c r="E565" i="9"/>
  <c r="E564" i="9"/>
  <c r="T562" i="9" s="1"/>
  <c r="E563" i="9"/>
  <c r="S562" i="9" s="1"/>
  <c r="E562" i="9"/>
  <c r="G560" i="9"/>
  <c r="D558" i="9"/>
  <c r="E556" i="9"/>
  <c r="X550" i="9" s="1"/>
  <c r="E555" i="9"/>
  <c r="E554" i="9"/>
  <c r="E553" i="9"/>
  <c r="U550" i="9" s="1"/>
  <c r="E552" i="9"/>
  <c r="E551" i="9"/>
  <c r="E550" i="9"/>
  <c r="G548" i="9"/>
  <c r="D546" i="9"/>
  <c r="E544" i="9"/>
  <c r="X538" i="9" s="1"/>
  <c r="E543" i="9"/>
  <c r="W538" i="9" s="1"/>
  <c r="E542" i="9"/>
  <c r="E541" i="9"/>
  <c r="U538" i="9" s="1"/>
  <c r="E540" i="9"/>
  <c r="T538" i="9" s="1"/>
  <c r="E539" i="9"/>
  <c r="S538" i="9" s="1"/>
  <c r="E538" i="9"/>
  <c r="R538" i="9" s="1"/>
  <c r="G536" i="9"/>
  <c r="D534" i="9"/>
  <c r="E532" i="9"/>
  <c r="E531" i="9"/>
  <c r="E530" i="9"/>
  <c r="V526" i="9" s="1"/>
  <c r="E529" i="9"/>
  <c r="U526" i="9" s="1"/>
  <c r="E528" i="9"/>
  <c r="E527" i="9"/>
  <c r="S526" i="9" s="1"/>
  <c r="E526" i="9"/>
  <c r="R526" i="9" s="1"/>
  <c r="G524" i="9"/>
  <c r="D522" i="9"/>
  <c r="E520" i="9"/>
  <c r="X514" i="9" s="1"/>
  <c r="E519" i="9"/>
  <c r="W514" i="9" s="1"/>
  <c r="E518" i="9"/>
  <c r="E517" i="9"/>
  <c r="E516" i="9"/>
  <c r="T514" i="9" s="1"/>
  <c r="E515" i="9"/>
  <c r="S514" i="9" s="1"/>
  <c r="E514" i="9"/>
  <c r="G512" i="9"/>
  <c r="D510" i="9"/>
  <c r="E508" i="9"/>
  <c r="X502" i="9" s="1"/>
  <c r="E507" i="9"/>
  <c r="E506" i="9"/>
  <c r="E505" i="9"/>
  <c r="U502" i="9" s="1"/>
  <c r="E504" i="9"/>
  <c r="T502" i="9" s="1"/>
  <c r="E503" i="9"/>
  <c r="E502" i="9"/>
  <c r="G500" i="9"/>
  <c r="D498" i="9"/>
  <c r="E496" i="9"/>
  <c r="X490" i="9" s="1"/>
  <c r="E495" i="9"/>
  <c r="W490" i="9" s="1"/>
  <c r="E494" i="9"/>
  <c r="V490" i="9" s="1"/>
  <c r="E493" i="9"/>
  <c r="E492" i="9"/>
  <c r="T490" i="9" s="1"/>
  <c r="E491" i="9"/>
  <c r="S490" i="9" s="1"/>
  <c r="E490" i="9"/>
  <c r="R490" i="9" s="1"/>
  <c r="G488" i="9"/>
  <c r="D486" i="9"/>
  <c r="E484" i="9"/>
  <c r="E483" i="9"/>
  <c r="W478" i="9" s="1"/>
  <c r="E482" i="9"/>
  <c r="V478" i="9" s="1"/>
  <c r="E481" i="9"/>
  <c r="U478" i="9" s="1"/>
  <c r="E480" i="9"/>
  <c r="E479" i="9"/>
  <c r="E478" i="9"/>
  <c r="G476" i="9"/>
  <c r="D474" i="9"/>
  <c r="E472" i="9"/>
  <c r="X466" i="9" s="1"/>
  <c r="E471" i="9"/>
  <c r="W466" i="9" s="1"/>
  <c r="E470" i="9"/>
  <c r="E469" i="9"/>
  <c r="E468" i="9"/>
  <c r="T466" i="9" s="1"/>
  <c r="E467" i="9"/>
  <c r="S466" i="9" s="1"/>
  <c r="E466" i="9"/>
  <c r="G464" i="9"/>
  <c r="D462" i="9"/>
  <c r="E460" i="9"/>
  <c r="X454" i="9" s="1"/>
  <c r="E459" i="9"/>
  <c r="E458" i="9"/>
  <c r="E457" i="9"/>
  <c r="U454" i="9" s="1"/>
  <c r="E456" i="9"/>
  <c r="E455" i="9"/>
  <c r="E454" i="9"/>
  <c r="G452" i="9"/>
  <c r="D450" i="9"/>
  <c r="E448" i="9"/>
  <c r="X442" i="9" s="1"/>
  <c r="E447" i="9"/>
  <c r="W442" i="9" s="1"/>
  <c r="E446" i="9"/>
  <c r="V442" i="9" s="1"/>
  <c r="E445" i="9"/>
  <c r="U442" i="9" s="1"/>
  <c r="E444" i="9"/>
  <c r="T442" i="9" s="1"/>
  <c r="E443" i="9"/>
  <c r="S442" i="9" s="1"/>
  <c r="E442" i="9"/>
  <c r="R442" i="9" s="1"/>
  <c r="G440" i="9"/>
  <c r="D438" i="9"/>
  <c r="E436" i="9"/>
  <c r="E435" i="9"/>
  <c r="W430" i="9" s="1"/>
  <c r="E434" i="9"/>
  <c r="E433" i="9"/>
  <c r="E432" i="9"/>
  <c r="E431" i="9"/>
  <c r="S430" i="9" s="1"/>
  <c r="E430" i="9"/>
  <c r="G428" i="9"/>
  <c r="D426" i="9"/>
  <c r="E424" i="9"/>
  <c r="X418" i="9" s="1"/>
  <c r="E423" i="9"/>
  <c r="W418" i="9" s="1"/>
  <c r="E422" i="9"/>
  <c r="E421" i="9"/>
  <c r="E420" i="9"/>
  <c r="T418" i="9" s="1"/>
  <c r="E419" i="9"/>
  <c r="S418" i="9" s="1"/>
  <c r="E418" i="9"/>
  <c r="G416" i="9"/>
  <c r="D414" i="9"/>
  <c r="E412" i="9"/>
  <c r="E411" i="9"/>
  <c r="E410" i="9"/>
  <c r="E409" i="9"/>
  <c r="U406" i="9" s="1"/>
  <c r="E408" i="9"/>
  <c r="E407" i="9"/>
  <c r="E406" i="9"/>
  <c r="G404" i="9"/>
  <c r="D402" i="9"/>
  <c r="E400" i="9"/>
  <c r="E399" i="9"/>
  <c r="W394" i="9" s="1"/>
  <c r="E398" i="9"/>
  <c r="E397" i="9"/>
  <c r="E396" i="9"/>
  <c r="E395" i="9"/>
  <c r="S394" i="9" s="1"/>
  <c r="E394" i="9"/>
  <c r="R394" i="9" s="1"/>
  <c r="G392" i="9"/>
  <c r="D390" i="9"/>
  <c r="E388" i="9"/>
  <c r="E387" i="9"/>
  <c r="W382" i="9" s="1"/>
  <c r="E386" i="9"/>
  <c r="E385" i="9"/>
  <c r="E384" i="9"/>
  <c r="E383" i="9"/>
  <c r="S382" i="9" s="1"/>
  <c r="E382" i="9"/>
  <c r="G380" i="9"/>
  <c r="D378" i="9"/>
  <c r="E376" i="9"/>
  <c r="X370" i="9" s="1"/>
  <c r="E375" i="9"/>
  <c r="W370" i="9" s="1"/>
  <c r="E374" i="9"/>
  <c r="E373" i="9"/>
  <c r="E372" i="9"/>
  <c r="T370" i="9" s="1"/>
  <c r="E371" i="9"/>
  <c r="S370" i="9" s="1"/>
  <c r="E370" i="9"/>
  <c r="G368" i="9"/>
  <c r="D366" i="9"/>
  <c r="E364" i="9"/>
  <c r="E363" i="9"/>
  <c r="E362" i="9"/>
  <c r="E361" i="9"/>
  <c r="U358" i="9" s="1"/>
  <c r="E360" i="9"/>
  <c r="E359" i="9"/>
  <c r="E358" i="9"/>
  <c r="G356" i="9"/>
  <c r="D354" i="9"/>
  <c r="E352" i="9"/>
  <c r="E351" i="9"/>
  <c r="W346" i="9" s="1"/>
  <c r="E350" i="9"/>
  <c r="E349" i="9"/>
  <c r="E348" i="9"/>
  <c r="E347" i="9"/>
  <c r="S346" i="9" s="1"/>
  <c r="E346" i="9"/>
  <c r="R346" i="9" s="1"/>
  <c r="G344" i="9"/>
  <c r="D342" i="9"/>
  <c r="E340" i="9"/>
  <c r="E339" i="9"/>
  <c r="W334" i="9" s="1"/>
  <c r="E338" i="9"/>
  <c r="E337" i="9"/>
  <c r="E336" i="9"/>
  <c r="E335" i="9"/>
  <c r="S334" i="9" s="1"/>
  <c r="E334" i="9"/>
  <c r="G332" i="9"/>
  <c r="D330" i="9"/>
  <c r="E328" i="9"/>
  <c r="X322" i="9" s="1"/>
  <c r="E327" i="9"/>
  <c r="W322" i="9" s="1"/>
  <c r="E326" i="9"/>
  <c r="E325" i="9"/>
  <c r="E324" i="9"/>
  <c r="T322" i="9" s="1"/>
  <c r="E323" i="9"/>
  <c r="S322" i="9" s="1"/>
  <c r="E322" i="9"/>
  <c r="G320" i="9"/>
  <c r="D318" i="9"/>
  <c r="E316" i="9"/>
  <c r="E315" i="9"/>
  <c r="E314" i="9"/>
  <c r="E313" i="9"/>
  <c r="U310" i="9" s="1"/>
  <c r="E312" i="9"/>
  <c r="E311" i="9"/>
  <c r="E310" i="9"/>
  <c r="G308" i="9"/>
  <c r="D306" i="9"/>
  <c r="E304" i="9"/>
  <c r="E303" i="9"/>
  <c r="W298" i="9" s="1"/>
  <c r="E302" i="9"/>
  <c r="E301" i="9"/>
  <c r="E300" i="9"/>
  <c r="E299" i="9"/>
  <c r="S298" i="9" s="1"/>
  <c r="E298" i="9"/>
  <c r="R298" i="9" s="1"/>
  <c r="G296" i="9"/>
  <c r="D294" i="9"/>
  <c r="E292" i="9"/>
  <c r="E291" i="9"/>
  <c r="W286" i="9" s="1"/>
  <c r="E290" i="9"/>
  <c r="E289" i="9"/>
  <c r="E288" i="9"/>
  <c r="E287" i="9"/>
  <c r="S286" i="9" s="1"/>
  <c r="E286" i="9"/>
  <c r="G284" i="9"/>
  <c r="D282" i="9"/>
  <c r="E280" i="9"/>
  <c r="X274" i="9" s="1"/>
  <c r="E279" i="9"/>
  <c r="W274" i="9" s="1"/>
  <c r="E278" i="9"/>
  <c r="E277" i="9"/>
  <c r="E276" i="9"/>
  <c r="T274" i="9" s="1"/>
  <c r="E275" i="9"/>
  <c r="S274" i="9" s="1"/>
  <c r="E274" i="9"/>
  <c r="G272" i="9"/>
  <c r="D270" i="9"/>
  <c r="E268" i="9"/>
  <c r="E267" i="9"/>
  <c r="E266" i="9"/>
  <c r="E265" i="9"/>
  <c r="U262" i="9" s="1"/>
  <c r="E264" i="9"/>
  <c r="E263" i="9"/>
  <c r="E262" i="9"/>
  <c r="G260" i="9"/>
  <c r="D258" i="9"/>
  <c r="E256" i="9"/>
  <c r="E255" i="9"/>
  <c r="W250" i="9" s="1"/>
  <c r="E254" i="9"/>
  <c r="E253" i="9"/>
  <c r="U250" i="9" s="1"/>
  <c r="E252" i="9"/>
  <c r="E251" i="9"/>
  <c r="S250" i="9" s="1"/>
  <c r="E250" i="9"/>
  <c r="R250" i="9" s="1"/>
  <c r="G248" i="9"/>
  <c r="D246" i="9"/>
  <c r="E244" i="9"/>
  <c r="E243" i="9"/>
  <c r="W238" i="9" s="1"/>
  <c r="E242" i="9"/>
  <c r="V238" i="9" s="1"/>
  <c r="E241" i="9"/>
  <c r="U238" i="9" s="1"/>
  <c r="E240" i="9"/>
  <c r="T238" i="9" s="1"/>
  <c r="E239" i="9"/>
  <c r="S238" i="9" s="1"/>
  <c r="E238" i="9"/>
  <c r="R238" i="9" s="1"/>
  <c r="G236" i="9"/>
  <c r="D234" i="9"/>
  <c r="E232" i="9"/>
  <c r="E231" i="9"/>
  <c r="W226" i="9" s="1"/>
  <c r="E230" i="9"/>
  <c r="E229" i="9"/>
  <c r="E228" i="9"/>
  <c r="T226" i="9" s="1"/>
  <c r="E227" i="9"/>
  <c r="S226" i="9" s="1"/>
  <c r="E226" i="9"/>
  <c r="G224" i="9"/>
  <c r="D222" i="9"/>
  <c r="E220" i="9"/>
  <c r="E219" i="9"/>
  <c r="E218" i="9"/>
  <c r="V214" i="9" s="1"/>
  <c r="E217" i="9"/>
  <c r="U214" i="9" s="1"/>
  <c r="E216" i="9"/>
  <c r="E215" i="9"/>
  <c r="E214" i="9"/>
  <c r="R214" i="9" s="1"/>
  <c r="G212" i="9"/>
  <c r="D210" i="9"/>
  <c r="E208" i="9"/>
  <c r="E207" i="9"/>
  <c r="W202" i="9" s="1"/>
  <c r="E206" i="9"/>
  <c r="V202" i="9" s="1"/>
  <c r="E205" i="9"/>
  <c r="E204" i="9"/>
  <c r="E203" i="9"/>
  <c r="S202" i="9" s="1"/>
  <c r="E202" i="9"/>
  <c r="R202" i="9" s="1"/>
  <c r="G200" i="9"/>
  <c r="D198" i="9"/>
  <c r="E196" i="9"/>
  <c r="X190" i="9" s="1"/>
  <c r="E195" i="9"/>
  <c r="E194" i="9"/>
  <c r="V190" i="9" s="1"/>
  <c r="E193" i="9"/>
  <c r="U190" i="9" s="1"/>
  <c r="E192" i="9"/>
  <c r="E191" i="9"/>
  <c r="S190" i="9" s="1"/>
  <c r="E190" i="9"/>
  <c r="R190" i="9" s="1"/>
  <c r="G188" i="9"/>
  <c r="D186" i="9"/>
  <c r="E184" i="9"/>
  <c r="X178" i="9" s="1"/>
  <c r="E183" i="9"/>
  <c r="W178" i="9" s="1"/>
  <c r="E182" i="9"/>
  <c r="E181" i="9"/>
  <c r="U178" i="9" s="1"/>
  <c r="E180" i="9"/>
  <c r="T178" i="9" s="1"/>
  <c r="E179" i="9"/>
  <c r="S178" i="9" s="1"/>
  <c r="E178" i="9"/>
  <c r="G176" i="9"/>
  <c r="D174" i="9"/>
  <c r="E172" i="9"/>
  <c r="E171" i="9"/>
  <c r="E170" i="9"/>
  <c r="V166" i="9" s="1"/>
  <c r="E169" i="9"/>
  <c r="U166" i="9" s="1"/>
  <c r="E168" i="9"/>
  <c r="E167" i="9"/>
  <c r="E166" i="9"/>
  <c r="R166" i="9" s="1"/>
  <c r="G164" i="9"/>
  <c r="D162" i="9"/>
  <c r="E160" i="9"/>
  <c r="E159" i="9"/>
  <c r="W154" i="9" s="1"/>
  <c r="E158" i="9"/>
  <c r="V154" i="9" s="1"/>
  <c r="E157" i="9"/>
  <c r="E156" i="9"/>
  <c r="E155" i="9"/>
  <c r="S154" i="9" s="1"/>
  <c r="E154" i="9"/>
  <c r="R154" i="9" s="1"/>
  <c r="G152" i="9"/>
  <c r="D150" i="9"/>
  <c r="E148" i="9"/>
  <c r="E147" i="9"/>
  <c r="W142" i="9" s="1"/>
  <c r="E146" i="9"/>
  <c r="E145" i="9"/>
  <c r="U142" i="9" s="1"/>
  <c r="E144" i="9"/>
  <c r="E143" i="9"/>
  <c r="S142" i="9" s="1"/>
  <c r="E142" i="9"/>
  <c r="G140" i="9"/>
  <c r="D138" i="9"/>
  <c r="E136" i="9"/>
  <c r="E135" i="9"/>
  <c r="E134" i="9"/>
  <c r="V130" i="9" s="1"/>
  <c r="E133" i="9"/>
  <c r="U130" i="9" s="1"/>
  <c r="E132" i="9"/>
  <c r="T130" i="9" s="1"/>
  <c r="E131" i="9"/>
  <c r="E130" i="9"/>
  <c r="R130" i="9" s="1"/>
  <c r="G128" i="9"/>
  <c r="D126" i="9"/>
  <c r="E124" i="9"/>
  <c r="E123" i="9"/>
  <c r="W118" i="9" s="1"/>
  <c r="E122" i="9"/>
  <c r="E121" i="9"/>
  <c r="U118" i="9" s="1"/>
  <c r="E120" i="9"/>
  <c r="E119" i="9"/>
  <c r="S118" i="9" s="1"/>
  <c r="E118" i="9"/>
  <c r="G116" i="9"/>
  <c r="D114" i="9"/>
  <c r="E112" i="9"/>
  <c r="E111" i="9"/>
  <c r="E110" i="9"/>
  <c r="E109" i="9"/>
  <c r="E108" i="9"/>
  <c r="E107" i="9"/>
  <c r="E106" i="9"/>
  <c r="G104" i="9"/>
  <c r="D102" i="9"/>
  <c r="E100" i="9"/>
  <c r="E99" i="9"/>
  <c r="W94" i="9" s="1"/>
  <c r="E98" i="9"/>
  <c r="V94" i="9" s="1"/>
  <c r="E97" i="9"/>
  <c r="U94" i="9" s="1"/>
  <c r="E96" i="9"/>
  <c r="E95" i="9"/>
  <c r="S94" i="9" s="1"/>
  <c r="E94" i="9"/>
  <c r="R94" i="9" s="1"/>
  <c r="G92" i="9"/>
  <c r="D90" i="9"/>
  <c r="E88" i="9"/>
  <c r="E87" i="9"/>
  <c r="W82" i="9" s="1"/>
  <c r="E86" i="9"/>
  <c r="E85" i="9"/>
  <c r="U82" i="9" s="1"/>
  <c r="E84" i="9"/>
  <c r="T82" i="9" s="1"/>
  <c r="E83" i="9"/>
  <c r="S82" i="9" s="1"/>
  <c r="E82" i="9"/>
  <c r="G80" i="9"/>
  <c r="D78" i="9"/>
  <c r="E76" i="9"/>
  <c r="X70" i="9" s="1"/>
  <c r="E75" i="9"/>
  <c r="W70" i="9" s="1"/>
  <c r="E74" i="9"/>
  <c r="V70" i="9" s="1"/>
  <c r="E73" i="9"/>
  <c r="U70" i="9" s="1"/>
  <c r="E72" i="9"/>
  <c r="T70" i="9" s="1"/>
  <c r="E71" i="9"/>
  <c r="S70" i="9" s="1"/>
  <c r="E70" i="9"/>
  <c r="R70" i="9" s="1"/>
  <c r="G68" i="9"/>
  <c r="D66" i="9"/>
  <c r="G44" i="9"/>
  <c r="X1234" i="9"/>
  <c r="W1234" i="9"/>
  <c r="V1234" i="9"/>
  <c r="T1234" i="9"/>
  <c r="S1234" i="9"/>
  <c r="R1234" i="9"/>
  <c r="P1234" i="9"/>
  <c r="X1222" i="9"/>
  <c r="V1222" i="9"/>
  <c r="U1222" i="9"/>
  <c r="T1222" i="9"/>
  <c r="R1222" i="9"/>
  <c r="P1222" i="9"/>
  <c r="X1210" i="9"/>
  <c r="W1210" i="9"/>
  <c r="V1210" i="9"/>
  <c r="T1210" i="9"/>
  <c r="S1210" i="9"/>
  <c r="R1210" i="9"/>
  <c r="P1210" i="9"/>
  <c r="X1198" i="9"/>
  <c r="W1198" i="9"/>
  <c r="V1198" i="9"/>
  <c r="T1198" i="9"/>
  <c r="S1198" i="9"/>
  <c r="R1198" i="9"/>
  <c r="P1198" i="9"/>
  <c r="X1186" i="9"/>
  <c r="W1186" i="9"/>
  <c r="V1186" i="9"/>
  <c r="U1186" i="9"/>
  <c r="T1186" i="9"/>
  <c r="S1186" i="9"/>
  <c r="R1186" i="9"/>
  <c r="P1186" i="9"/>
  <c r="X1174" i="9"/>
  <c r="W1174" i="9"/>
  <c r="V1174" i="9"/>
  <c r="T1174" i="9"/>
  <c r="S1174" i="9"/>
  <c r="R1174" i="9"/>
  <c r="P1174" i="9"/>
  <c r="X1162" i="9"/>
  <c r="W1162" i="9"/>
  <c r="V1162" i="9"/>
  <c r="U1162" i="9"/>
  <c r="T1162" i="9"/>
  <c r="S1162" i="9"/>
  <c r="R1162" i="9"/>
  <c r="P1162" i="9"/>
  <c r="X1150" i="9"/>
  <c r="W1150" i="9"/>
  <c r="V1150" i="9"/>
  <c r="T1150" i="9"/>
  <c r="S1150" i="9"/>
  <c r="R1150" i="9"/>
  <c r="P1150" i="9"/>
  <c r="X1138" i="9"/>
  <c r="W1138" i="9"/>
  <c r="V1138" i="9"/>
  <c r="U1138" i="9"/>
  <c r="T1138" i="9"/>
  <c r="S1138" i="9"/>
  <c r="R1138" i="9"/>
  <c r="P1138" i="9"/>
  <c r="X1126" i="9"/>
  <c r="W1126" i="9"/>
  <c r="V1126" i="9"/>
  <c r="T1126" i="9"/>
  <c r="S1126" i="9"/>
  <c r="R1126" i="9"/>
  <c r="P1126" i="9"/>
  <c r="X1114" i="9"/>
  <c r="W1114" i="9"/>
  <c r="V1114" i="9"/>
  <c r="U1114" i="9"/>
  <c r="T1114" i="9"/>
  <c r="S1114" i="9"/>
  <c r="R1114" i="9"/>
  <c r="P1114" i="9"/>
  <c r="X1102" i="9"/>
  <c r="W1102" i="9"/>
  <c r="V1102" i="9"/>
  <c r="T1102" i="9"/>
  <c r="S1102" i="9"/>
  <c r="R1102" i="9"/>
  <c r="P1102" i="9"/>
  <c r="X1090" i="9"/>
  <c r="W1090" i="9"/>
  <c r="V1090" i="9"/>
  <c r="U1090" i="9"/>
  <c r="T1090" i="9"/>
  <c r="S1090" i="9"/>
  <c r="R1090" i="9"/>
  <c r="P1090" i="9"/>
  <c r="X1078" i="9"/>
  <c r="W1078" i="9"/>
  <c r="V1078" i="9"/>
  <c r="T1078" i="9"/>
  <c r="S1078" i="9"/>
  <c r="R1078" i="9"/>
  <c r="P1078" i="9"/>
  <c r="X1066" i="9"/>
  <c r="W1066" i="9"/>
  <c r="V1066" i="9"/>
  <c r="U1066" i="9"/>
  <c r="T1066" i="9"/>
  <c r="S1066" i="9"/>
  <c r="R1066" i="9"/>
  <c r="P1066" i="9"/>
  <c r="X1054" i="9"/>
  <c r="W1054" i="9"/>
  <c r="V1054" i="9"/>
  <c r="T1054" i="9"/>
  <c r="S1054" i="9"/>
  <c r="R1054" i="9"/>
  <c r="P1054" i="9"/>
  <c r="X1042" i="9"/>
  <c r="W1042" i="9"/>
  <c r="V1042" i="9"/>
  <c r="U1042" i="9"/>
  <c r="T1042" i="9"/>
  <c r="S1042" i="9"/>
  <c r="R1042" i="9"/>
  <c r="P1042" i="9"/>
  <c r="X1030" i="9"/>
  <c r="W1030" i="9"/>
  <c r="V1030" i="9"/>
  <c r="T1030" i="9"/>
  <c r="S1030" i="9"/>
  <c r="R1030" i="9"/>
  <c r="P1030" i="9"/>
  <c r="X1018" i="9"/>
  <c r="W1018" i="9"/>
  <c r="V1018" i="9"/>
  <c r="U1018" i="9"/>
  <c r="T1018" i="9"/>
  <c r="S1018" i="9"/>
  <c r="R1018" i="9"/>
  <c r="P1018" i="9"/>
  <c r="X1006" i="9"/>
  <c r="W1006" i="9"/>
  <c r="T1006" i="9"/>
  <c r="S1006" i="9"/>
  <c r="P1006" i="9"/>
  <c r="X994" i="9"/>
  <c r="W994" i="9"/>
  <c r="V994" i="9"/>
  <c r="U994" i="9"/>
  <c r="T994" i="9"/>
  <c r="S994" i="9"/>
  <c r="R994" i="9"/>
  <c r="P994" i="9"/>
  <c r="X982" i="9"/>
  <c r="W982" i="9"/>
  <c r="T982" i="9"/>
  <c r="S982" i="9"/>
  <c r="P982" i="9"/>
  <c r="X970" i="9"/>
  <c r="W970" i="9"/>
  <c r="V970" i="9"/>
  <c r="U970" i="9"/>
  <c r="T970" i="9"/>
  <c r="S970" i="9"/>
  <c r="R970" i="9"/>
  <c r="P970" i="9"/>
  <c r="X958" i="9"/>
  <c r="W958" i="9"/>
  <c r="T958" i="9"/>
  <c r="S958" i="9"/>
  <c r="P958" i="9"/>
  <c r="X946" i="9"/>
  <c r="W946" i="9"/>
  <c r="V946" i="9"/>
  <c r="U946" i="9"/>
  <c r="T946" i="9"/>
  <c r="S946" i="9"/>
  <c r="R946" i="9"/>
  <c r="P946" i="9"/>
  <c r="X934" i="9"/>
  <c r="W934" i="9"/>
  <c r="T934" i="9"/>
  <c r="S934" i="9"/>
  <c r="P934" i="9"/>
  <c r="X922" i="9"/>
  <c r="W922" i="9"/>
  <c r="V922" i="9"/>
  <c r="U922" i="9"/>
  <c r="T922" i="9"/>
  <c r="S922" i="9"/>
  <c r="R922" i="9"/>
  <c r="P922" i="9"/>
  <c r="X910" i="9"/>
  <c r="W910" i="9"/>
  <c r="T910" i="9"/>
  <c r="S910" i="9"/>
  <c r="P910" i="9"/>
  <c r="X898" i="9"/>
  <c r="W898" i="9"/>
  <c r="V898" i="9"/>
  <c r="U898" i="9"/>
  <c r="T898" i="9"/>
  <c r="S898" i="9"/>
  <c r="R898" i="9"/>
  <c r="P898" i="9"/>
  <c r="X886" i="9"/>
  <c r="W886" i="9"/>
  <c r="T886" i="9"/>
  <c r="S886" i="9"/>
  <c r="P886" i="9"/>
  <c r="X874" i="9"/>
  <c r="W874" i="9"/>
  <c r="V874" i="9"/>
  <c r="U874" i="9"/>
  <c r="T874" i="9"/>
  <c r="S874" i="9"/>
  <c r="R874" i="9"/>
  <c r="P874" i="9"/>
  <c r="X862" i="9"/>
  <c r="W862" i="9"/>
  <c r="T862" i="9"/>
  <c r="S862" i="9"/>
  <c r="P862" i="9"/>
  <c r="X850" i="9"/>
  <c r="W850" i="9"/>
  <c r="V850" i="9"/>
  <c r="U850" i="9"/>
  <c r="T850" i="9"/>
  <c r="S850" i="9"/>
  <c r="R850" i="9"/>
  <c r="P850" i="9"/>
  <c r="X838" i="9"/>
  <c r="W838" i="9"/>
  <c r="T838" i="9"/>
  <c r="P838" i="9"/>
  <c r="X826" i="9"/>
  <c r="W826" i="9"/>
  <c r="V826" i="9"/>
  <c r="U826" i="9"/>
  <c r="T826" i="9"/>
  <c r="S826" i="9"/>
  <c r="R826" i="9"/>
  <c r="P826" i="9"/>
  <c r="X814" i="9"/>
  <c r="W814" i="9"/>
  <c r="T814" i="9"/>
  <c r="S814" i="9"/>
  <c r="P814" i="9"/>
  <c r="V802" i="9"/>
  <c r="U802" i="9"/>
  <c r="R802" i="9"/>
  <c r="P802" i="9"/>
  <c r="X790" i="9"/>
  <c r="W790" i="9"/>
  <c r="V790" i="9"/>
  <c r="S790" i="9"/>
  <c r="R790" i="9"/>
  <c r="P790" i="9"/>
  <c r="V778" i="9"/>
  <c r="U778" i="9"/>
  <c r="R778" i="9"/>
  <c r="P778" i="9"/>
  <c r="X766" i="9"/>
  <c r="W766" i="9"/>
  <c r="V766" i="9"/>
  <c r="T766" i="9"/>
  <c r="S766" i="9"/>
  <c r="R766" i="9"/>
  <c r="P766" i="9"/>
  <c r="V754" i="9"/>
  <c r="U754" i="9"/>
  <c r="R754" i="9"/>
  <c r="P754" i="9"/>
  <c r="W742" i="9"/>
  <c r="V742" i="9"/>
  <c r="T742" i="9"/>
  <c r="S742" i="9"/>
  <c r="R742" i="9"/>
  <c r="P742" i="9"/>
  <c r="P730" i="9"/>
  <c r="X718" i="9"/>
  <c r="T718" i="9"/>
  <c r="S718" i="9"/>
  <c r="P718" i="9"/>
  <c r="V706" i="9"/>
  <c r="U706" i="9"/>
  <c r="R706" i="9"/>
  <c r="P706" i="9"/>
  <c r="X694" i="9"/>
  <c r="W694" i="9"/>
  <c r="V694" i="9"/>
  <c r="S694" i="9"/>
  <c r="R694" i="9"/>
  <c r="P694" i="9"/>
  <c r="V682" i="9"/>
  <c r="U682" i="9"/>
  <c r="P682" i="9"/>
  <c r="X670" i="9"/>
  <c r="V670" i="9"/>
  <c r="T670" i="9"/>
  <c r="S670" i="9"/>
  <c r="R670" i="9"/>
  <c r="P670" i="9"/>
  <c r="V658" i="9"/>
  <c r="U658" i="9"/>
  <c r="R658" i="9"/>
  <c r="P658" i="9"/>
  <c r="W646" i="9"/>
  <c r="V646" i="9"/>
  <c r="T646" i="9"/>
  <c r="S646" i="9"/>
  <c r="R646" i="9"/>
  <c r="P646" i="9"/>
  <c r="P634" i="9"/>
  <c r="X622" i="9"/>
  <c r="T622" i="9"/>
  <c r="P622" i="9"/>
  <c r="V610" i="9"/>
  <c r="U610" i="9"/>
  <c r="R610" i="9"/>
  <c r="P610" i="9"/>
  <c r="X598" i="9"/>
  <c r="W598" i="9"/>
  <c r="V598" i="9"/>
  <c r="S598" i="9"/>
  <c r="R598" i="9"/>
  <c r="P598" i="9"/>
  <c r="U586" i="9"/>
  <c r="P586" i="9"/>
  <c r="X574" i="9"/>
  <c r="W574" i="9"/>
  <c r="V574" i="9"/>
  <c r="T574" i="9"/>
  <c r="R574" i="9"/>
  <c r="P574" i="9"/>
  <c r="V562" i="9"/>
  <c r="U562" i="9"/>
  <c r="R562" i="9"/>
  <c r="P562" i="9"/>
  <c r="W550" i="9"/>
  <c r="V550" i="9"/>
  <c r="T550" i="9"/>
  <c r="S550" i="9"/>
  <c r="R550" i="9"/>
  <c r="P550" i="9"/>
  <c r="V538" i="9"/>
  <c r="P538" i="9"/>
  <c r="X526" i="9"/>
  <c r="W526" i="9"/>
  <c r="T526" i="9"/>
  <c r="P526" i="9"/>
  <c r="V514" i="9"/>
  <c r="U514" i="9"/>
  <c r="R514" i="9"/>
  <c r="P514" i="9"/>
  <c r="W502" i="9"/>
  <c r="V502" i="9"/>
  <c r="S502" i="9"/>
  <c r="R502" i="9"/>
  <c r="P502" i="9"/>
  <c r="U490" i="9"/>
  <c r="P490" i="9"/>
  <c r="X478" i="9"/>
  <c r="T478" i="9"/>
  <c r="S478" i="9"/>
  <c r="R478" i="9"/>
  <c r="P478" i="9"/>
  <c r="V466" i="9"/>
  <c r="U466" i="9"/>
  <c r="R466" i="9"/>
  <c r="P466" i="9"/>
  <c r="W454" i="9"/>
  <c r="V454" i="9"/>
  <c r="T454" i="9"/>
  <c r="S454" i="9"/>
  <c r="R454" i="9"/>
  <c r="P454" i="9"/>
  <c r="P442" i="9"/>
  <c r="X430" i="9"/>
  <c r="V430" i="9"/>
  <c r="U430" i="9"/>
  <c r="T430" i="9"/>
  <c r="R430" i="9"/>
  <c r="P430" i="9"/>
  <c r="V418" i="9"/>
  <c r="U418" i="9"/>
  <c r="R418" i="9"/>
  <c r="P418" i="9"/>
  <c r="X406" i="9"/>
  <c r="W406" i="9"/>
  <c r="V406" i="9"/>
  <c r="T406" i="9"/>
  <c r="S406" i="9"/>
  <c r="R406" i="9"/>
  <c r="P406" i="9"/>
  <c r="X394" i="9"/>
  <c r="V394" i="9"/>
  <c r="U394" i="9"/>
  <c r="T394" i="9"/>
  <c r="P394" i="9"/>
  <c r="X382" i="9"/>
  <c r="V382" i="9"/>
  <c r="U382" i="9"/>
  <c r="T382" i="9"/>
  <c r="R382" i="9"/>
  <c r="P382" i="9"/>
  <c r="V370" i="9"/>
  <c r="U370" i="9"/>
  <c r="R370" i="9"/>
  <c r="P370" i="9"/>
  <c r="X358" i="9"/>
  <c r="W358" i="9"/>
  <c r="V358" i="9"/>
  <c r="T358" i="9"/>
  <c r="S358" i="9"/>
  <c r="R358" i="9"/>
  <c r="P358" i="9"/>
  <c r="X346" i="9"/>
  <c r="V346" i="9"/>
  <c r="U346" i="9"/>
  <c r="T346" i="9"/>
  <c r="P346" i="9"/>
  <c r="X334" i="9"/>
  <c r="V334" i="9"/>
  <c r="U334" i="9"/>
  <c r="T334" i="9"/>
  <c r="R334" i="9"/>
  <c r="P334" i="9"/>
  <c r="V322" i="9"/>
  <c r="U322" i="9"/>
  <c r="R322" i="9"/>
  <c r="P322" i="9"/>
  <c r="X310" i="9"/>
  <c r="W310" i="9"/>
  <c r="V310" i="9"/>
  <c r="T310" i="9"/>
  <c r="S310" i="9"/>
  <c r="R310" i="9"/>
  <c r="P310" i="9"/>
  <c r="X298" i="9"/>
  <c r="V298" i="9"/>
  <c r="U298" i="9"/>
  <c r="T298" i="9"/>
  <c r="P298" i="9"/>
  <c r="X286" i="9"/>
  <c r="V286" i="9"/>
  <c r="U286" i="9"/>
  <c r="T286" i="9"/>
  <c r="R286" i="9"/>
  <c r="P286" i="9"/>
  <c r="V274" i="9"/>
  <c r="U274" i="9"/>
  <c r="R274" i="9"/>
  <c r="P274" i="9"/>
  <c r="X262" i="9"/>
  <c r="W262" i="9"/>
  <c r="V262" i="9"/>
  <c r="T262" i="9"/>
  <c r="S262" i="9"/>
  <c r="R262" i="9"/>
  <c r="P262" i="9"/>
  <c r="X250" i="9"/>
  <c r="V250" i="9"/>
  <c r="T250" i="9"/>
  <c r="P250" i="9"/>
  <c r="X238" i="9"/>
  <c r="P238" i="9"/>
  <c r="X226" i="9"/>
  <c r="V226" i="9"/>
  <c r="U226" i="9"/>
  <c r="R226" i="9"/>
  <c r="P226" i="9"/>
  <c r="X214" i="9"/>
  <c r="W214" i="9"/>
  <c r="T214" i="9"/>
  <c r="S214" i="9"/>
  <c r="P214" i="9"/>
  <c r="X202" i="9"/>
  <c r="U202" i="9"/>
  <c r="T202" i="9"/>
  <c r="P202" i="9"/>
  <c r="W190" i="9"/>
  <c r="T190" i="9"/>
  <c r="P190" i="9"/>
  <c r="V178" i="9"/>
  <c r="R178" i="9"/>
  <c r="P178" i="9"/>
  <c r="X166" i="9"/>
  <c r="W166" i="9"/>
  <c r="T166" i="9"/>
  <c r="S166" i="9"/>
  <c r="P166" i="9"/>
  <c r="X154" i="9"/>
  <c r="U154" i="9"/>
  <c r="T154" i="9"/>
  <c r="P154" i="9"/>
  <c r="X142" i="9"/>
  <c r="V142" i="9"/>
  <c r="T142" i="9"/>
  <c r="R142" i="9"/>
  <c r="P142" i="9"/>
  <c r="X130" i="9"/>
  <c r="W130" i="9"/>
  <c r="S130" i="9"/>
  <c r="P130" i="9"/>
  <c r="X118" i="9"/>
  <c r="V118" i="9"/>
  <c r="T118" i="9"/>
  <c r="R118" i="9"/>
  <c r="P118" i="9"/>
  <c r="X106" i="9"/>
  <c r="W106" i="9"/>
  <c r="V106" i="9"/>
  <c r="U106" i="9"/>
  <c r="T106" i="9"/>
  <c r="S106" i="9"/>
  <c r="R106" i="9"/>
  <c r="P106" i="9"/>
  <c r="X94" i="9"/>
  <c r="T94" i="9"/>
  <c r="P94" i="9"/>
  <c r="X82" i="9"/>
  <c r="V82" i="9"/>
  <c r="R82" i="9"/>
  <c r="P82" i="9"/>
  <c r="P70" i="9"/>
  <c r="R58" i="9"/>
  <c r="E46" i="9"/>
  <c r="R46" i="9" s="1"/>
  <c r="F67" i="9"/>
  <c r="F79" i="9" s="1"/>
  <c r="F91" i="9" s="1"/>
  <c r="F103" i="9" s="1"/>
  <c r="F115" i="9" s="1"/>
  <c r="F127" i="9" s="1"/>
  <c r="F139" i="9" s="1"/>
  <c r="F151" i="9" s="1"/>
  <c r="F163" i="9" s="1"/>
  <c r="F175" i="9" s="1"/>
  <c r="F187" i="9" s="1"/>
  <c r="F199" i="9" s="1"/>
  <c r="F211" i="9" s="1"/>
  <c r="F223" i="9" s="1"/>
  <c r="F235" i="9" s="1"/>
  <c r="F247" i="9" s="1"/>
  <c r="F259" i="9" s="1"/>
  <c r="F271" i="9" s="1"/>
  <c r="F283" i="9" s="1"/>
  <c r="F295" i="9" s="1"/>
  <c r="F307" i="9" s="1"/>
  <c r="F319" i="9" s="1"/>
  <c r="F331" i="9" s="1"/>
  <c r="F343" i="9" s="1"/>
  <c r="F355" i="9" s="1"/>
  <c r="F367" i="9" s="1"/>
  <c r="F379" i="9" s="1"/>
  <c r="F391" i="9" s="1"/>
  <c r="F403" i="9" s="1"/>
  <c r="F415" i="9" s="1"/>
  <c r="F427" i="9" s="1"/>
  <c r="F439" i="9" s="1"/>
  <c r="F451" i="9" s="1"/>
  <c r="F463" i="9" s="1"/>
  <c r="F475" i="9" s="1"/>
  <c r="F487" i="9" s="1"/>
  <c r="F499" i="9" s="1"/>
  <c r="F511" i="9" s="1"/>
  <c r="F523" i="9" s="1"/>
  <c r="F535" i="9" s="1"/>
  <c r="F547" i="9" s="1"/>
  <c r="F559" i="9" s="1"/>
  <c r="F571" i="9" s="1"/>
  <c r="F583" i="9" s="1"/>
  <c r="F595" i="9" s="1"/>
  <c r="F607" i="9" s="1"/>
  <c r="F619" i="9" s="1"/>
  <c r="F631" i="9" s="1"/>
  <c r="F643" i="9" s="1"/>
  <c r="F655" i="9" s="1"/>
  <c r="F667" i="9" s="1"/>
  <c r="F679" i="9" s="1"/>
  <c r="F691" i="9" s="1"/>
  <c r="F703" i="9" s="1"/>
  <c r="F715" i="9" s="1"/>
  <c r="F727" i="9" s="1"/>
  <c r="F739" i="9" s="1"/>
  <c r="F751" i="9" s="1"/>
  <c r="F763" i="9" s="1"/>
  <c r="F775" i="9" s="1"/>
  <c r="F787" i="9" s="1"/>
  <c r="F799" i="9" s="1"/>
  <c r="F811" i="9" s="1"/>
  <c r="F823" i="9" s="1"/>
  <c r="F835" i="9" s="1"/>
  <c r="F847" i="9" s="1"/>
  <c r="F859" i="9" s="1"/>
  <c r="F871" i="9" s="1"/>
  <c r="F883" i="9" s="1"/>
  <c r="F895" i="9" s="1"/>
  <c r="F907" i="9" s="1"/>
  <c r="F919" i="9" s="1"/>
  <c r="F931" i="9" s="1"/>
  <c r="F943" i="9" s="1"/>
  <c r="F955" i="9" s="1"/>
  <c r="F967" i="9" s="1"/>
  <c r="F979" i="9" s="1"/>
  <c r="F991" i="9" s="1"/>
  <c r="F1003" i="9" s="1"/>
  <c r="F1015" i="9" s="1"/>
  <c r="F1027" i="9" s="1"/>
  <c r="F1039" i="9" s="1"/>
  <c r="F1051" i="9" s="1"/>
  <c r="F1063" i="9" s="1"/>
  <c r="F1075" i="9" s="1"/>
  <c r="F1087" i="9" s="1"/>
  <c r="F1099" i="9" s="1"/>
  <c r="F1111" i="9" s="1"/>
  <c r="F1123" i="9" s="1"/>
  <c r="F1135" i="9" s="1"/>
  <c r="F1147" i="9" s="1"/>
  <c r="F1159" i="9" s="1"/>
  <c r="F1171" i="9" s="1"/>
  <c r="F1183" i="9" s="1"/>
  <c r="F1195" i="9" s="1"/>
  <c r="F1207" i="9" s="1"/>
  <c r="F1219" i="9" s="1"/>
  <c r="F1231" i="9" s="1"/>
  <c r="X58" i="9"/>
  <c r="W58" i="9"/>
  <c r="V58" i="9"/>
  <c r="U58" i="9"/>
  <c r="T58" i="9"/>
  <c r="S58" i="9"/>
  <c r="D42" i="9"/>
  <c r="P46" i="9"/>
  <c r="E52" i="9"/>
  <c r="X46" i="9" s="1"/>
  <c r="E51" i="9"/>
  <c r="W46" i="9" s="1"/>
  <c r="E50" i="9"/>
  <c r="V46" i="9" s="1"/>
  <c r="E49" i="9"/>
  <c r="U46" i="9" s="1"/>
  <c r="E48" i="9"/>
  <c r="T46" i="9" s="1"/>
  <c r="E47" i="9"/>
  <c r="S46" i="9" s="1"/>
  <c r="P16" i="9" l="1"/>
  <c r="S15" i="9"/>
  <c r="S16" i="9" s="1"/>
  <c r="AP16" i="9"/>
  <c r="AG39" i="9" s="1"/>
  <c r="AR15" i="9"/>
  <c r="AR16" i="9" s="1"/>
  <c r="AS15" i="9"/>
  <c r="AS16" i="9" s="1"/>
  <c r="AW15" i="9"/>
  <c r="AW16" i="9" s="1"/>
  <c r="AT15" i="9"/>
  <c r="AT16" i="9" s="1"/>
  <c r="AU15" i="9"/>
  <c r="AU16" i="9" s="1"/>
  <c r="AX15" i="9"/>
  <c r="AX16" i="9" s="1"/>
  <c r="AV15" i="9"/>
  <c r="AV16" i="9" s="1"/>
  <c r="V15" i="9"/>
  <c r="R15" i="9"/>
  <c r="W15" i="9"/>
  <c r="T15" i="9"/>
  <c r="X15" i="9"/>
  <c r="U15" i="9"/>
  <c r="AN30" i="9" l="1"/>
  <c r="L116" i="29" s="1"/>
  <c r="W16" i="9"/>
  <c r="W17" i="9" s="1"/>
  <c r="W18" i="9" s="1"/>
  <c r="D37" i="9" s="1"/>
  <c r="R16" i="9"/>
  <c r="R17" i="9" s="1"/>
  <c r="R18" i="9" s="1"/>
  <c r="T16" i="9"/>
  <c r="T17" i="9" s="1"/>
  <c r="T18" i="9" s="1"/>
  <c r="D34" i="9" s="1"/>
  <c r="V16" i="9"/>
  <c r="V17" i="9" s="1"/>
  <c r="E36" i="9" s="1"/>
  <c r="AR17" i="9"/>
  <c r="AR18" i="9" s="1"/>
  <c r="AD32" i="9" s="1"/>
  <c r="G39" i="9"/>
  <c r="U16" i="9"/>
  <c r="U17" i="9" s="1"/>
  <c r="U18" i="9" s="1"/>
  <c r="D35" i="9" s="1"/>
  <c r="S17" i="9"/>
  <c r="E33" i="9" s="1"/>
  <c r="X16" i="9"/>
  <c r="X17" i="9" s="1"/>
  <c r="X18" i="9" s="1"/>
  <c r="D38" i="9" s="1"/>
  <c r="AX17" i="9"/>
  <c r="AE38" i="9" s="1"/>
  <c r="C124" i="29" s="1"/>
  <c r="AS17" i="9"/>
  <c r="AE33" i="9" s="1"/>
  <c r="C119" i="29" s="1"/>
  <c r="AU17" i="9"/>
  <c r="AE35" i="9" s="1"/>
  <c r="C121" i="29" s="1"/>
  <c r="AT17" i="9"/>
  <c r="AE34" i="9" s="1"/>
  <c r="C120" i="29" s="1"/>
  <c r="AV17" i="9"/>
  <c r="AE36" i="9" s="1"/>
  <c r="C122" i="29" s="1"/>
  <c r="AW17" i="9"/>
  <c r="AE37" i="9" s="1"/>
  <c r="C123" i="29" s="1"/>
  <c r="E38" i="9" l="1"/>
  <c r="E37" i="9"/>
  <c r="E34" i="9"/>
  <c r="AE32" i="9"/>
  <c r="C118" i="29" s="1"/>
  <c r="V18" i="9"/>
  <c r="D36" i="9" s="1"/>
  <c r="S18" i="9"/>
  <c r="D33" i="9" s="1"/>
  <c r="B118" i="29"/>
  <c r="AT18" i="9"/>
  <c r="AD34" i="9" s="1"/>
  <c r="B120" i="29" s="1"/>
  <c r="E35" i="9"/>
  <c r="AW18" i="9"/>
  <c r="AD37" i="9" s="1"/>
  <c r="B123" i="29" s="1"/>
  <c r="D32" i="9"/>
  <c r="E32" i="9"/>
  <c r="AX18" i="9"/>
  <c r="AD38" i="9" s="1"/>
  <c r="B124" i="29" s="1"/>
  <c r="AV18" i="9"/>
  <c r="AD36" i="9" s="1"/>
  <c r="B122" i="29" s="1"/>
  <c r="AS18" i="9"/>
  <c r="AD33" i="9" s="1"/>
  <c r="B119" i="29" s="1"/>
  <c r="AU18" i="9"/>
  <c r="AD35" i="9" s="1"/>
  <c r="B121" i="29" s="1"/>
  <c r="AH10" i="9" l="1"/>
  <c r="H10" i="9"/>
  <c r="K41" i="22" s="1"/>
  <c r="AA41" i="22"/>
  <c r="N30" i="9"/>
  <c r="Y41" i="22" l="1"/>
  <c r="M41" i="22"/>
  <c r="I21" i="34"/>
  <c r="Y22" i="43"/>
  <c r="S28" i="43" s="1"/>
  <c r="Y20" i="43" s="1"/>
  <c r="X102" i="43"/>
  <c r="X94" i="43"/>
  <c r="X86" i="43"/>
  <c r="X78" i="43"/>
  <c r="X70" i="43"/>
  <c r="X61" i="43"/>
  <c r="X53" i="43"/>
  <c r="X44" i="43"/>
  <c r="X36" i="43"/>
  <c r="X101" i="43"/>
  <c r="X93" i="43"/>
  <c r="X85" i="43"/>
  <c r="X77" i="43"/>
  <c r="X69" i="43"/>
  <c r="X60" i="43"/>
  <c r="X52" i="43"/>
  <c r="X43" i="43"/>
  <c r="X35" i="43"/>
  <c r="X100" i="43"/>
  <c r="X92" i="43"/>
  <c r="X84" i="43"/>
  <c r="X76" i="43"/>
  <c r="X68" i="43"/>
  <c r="X59" i="43"/>
  <c r="X51" i="43"/>
  <c r="X42" i="43"/>
  <c r="X34" i="43"/>
  <c r="X99" i="43"/>
  <c r="X91" i="43"/>
  <c r="X83" i="43"/>
  <c r="X75" i="43"/>
  <c r="X67" i="43"/>
  <c r="X58" i="43"/>
  <c r="X50" i="43"/>
  <c r="X41" i="43"/>
  <c r="X33" i="43"/>
  <c r="X98" i="43"/>
  <c r="X90" i="43"/>
  <c r="X82" i="43"/>
  <c r="X74" i="43"/>
  <c r="X66" i="43"/>
  <c r="X57" i="43"/>
  <c r="X49" i="43"/>
  <c r="X40" i="43"/>
  <c r="X32" i="43"/>
  <c r="X96" i="43"/>
  <c r="X88" i="43"/>
  <c r="X80" i="43"/>
  <c r="X72" i="43"/>
  <c r="X64" i="43"/>
  <c r="X55" i="43"/>
  <c r="X47" i="43"/>
  <c r="X38" i="43"/>
  <c r="X30" i="43"/>
  <c r="T96" i="43"/>
  <c r="T88" i="43"/>
  <c r="T80" i="43"/>
  <c r="T72" i="43"/>
  <c r="T64" i="43"/>
  <c r="T55" i="43"/>
  <c r="T47" i="43"/>
  <c r="T38" i="43"/>
  <c r="T30" i="43"/>
  <c r="K96" i="43"/>
  <c r="K88" i="43"/>
  <c r="K80" i="43"/>
  <c r="K72" i="43"/>
  <c r="K64" i="43"/>
  <c r="K55" i="43"/>
  <c r="K47" i="43"/>
  <c r="K38" i="43"/>
  <c r="K30" i="43"/>
  <c r="K102" i="43"/>
  <c r="K94" i="43"/>
  <c r="K86" i="43"/>
  <c r="K78" i="43"/>
  <c r="K70" i="43"/>
  <c r="K61" i="43"/>
  <c r="K53" i="43"/>
  <c r="K44" i="43"/>
  <c r="K36" i="43"/>
  <c r="K101" i="43"/>
  <c r="K93" i="43"/>
  <c r="K85" i="43"/>
  <c r="K77" i="43"/>
  <c r="K69" i="43"/>
  <c r="K60" i="43"/>
  <c r="K52" i="43"/>
  <c r="K43" i="43"/>
  <c r="K35" i="43"/>
  <c r="K100" i="43"/>
  <c r="K92" i="43"/>
  <c r="K84" i="43"/>
  <c r="K76" i="43"/>
  <c r="K68" i="43"/>
  <c r="K59" i="43"/>
  <c r="K51" i="43"/>
  <c r="K42" i="43"/>
  <c r="K34" i="43"/>
  <c r="K99" i="43"/>
  <c r="K91" i="43"/>
  <c r="K83" i="43"/>
  <c r="K75" i="43"/>
  <c r="K67" i="43"/>
  <c r="K58" i="43"/>
  <c r="K50" i="43"/>
  <c r="K41" i="43"/>
  <c r="K33" i="43"/>
  <c r="K98" i="43"/>
  <c r="K90" i="43"/>
  <c r="K82" i="43"/>
  <c r="K74" i="43"/>
  <c r="K66" i="43"/>
  <c r="K57" i="43"/>
  <c r="K49" i="43"/>
  <c r="K40" i="43"/>
  <c r="K32" i="43"/>
  <c r="G30" i="43"/>
  <c r="G96" i="43"/>
  <c r="G88" i="43"/>
  <c r="G80" i="43"/>
  <c r="G72" i="43"/>
  <c r="G64" i="43"/>
  <c r="G55" i="43"/>
  <c r="G47" i="43"/>
  <c r="G38" i="43"/>
  <c r="G23" i="34"/>
  <c r="L22" i="43"/>
  <c r="F28" i="43" s="1"/>
  <c r="L20" i="43" s="1"/>
  <c r="J16" i="49"/>
  <c r="J15" i="49"/>
  <c r="H10" i="43" l="1"/>
  <c r="B43" i="22" s="1"/>
  <c r="K37" i="22" s="1"/>
  <c r="M37" i="22" s="1"/>
  <c r="U8" i="43"/>
  <c r="H8" i="43"/>
  <c r="U6" i="43"/>
  <c r="H6" i="43"/>
  <c r="J8" i="49"/>
  <c r="J6" i="49"/>
  <c r="K38" i="22" l="1"/>
  <c r="Y38" i="22" s="1"/>
  <c r="K36" i="22"/>
  <c r="U10" i="43"/>
  <c r="P43" i="22" s="1"/>
  <c r="F78" i="29"/>
  <c r="E37" i="35"/>
  <c r="E31" i="35"/>
  <c r="E39" i="35"/>
  <c r="V8" i="47"/>
  <c r="H8" i="47"/>
  <c r="Z6" i="47"/>
  <c r="X6" i="47"/>
  <c r="V6" i="47"/>
  <c r="H6" i="47"/>
  <c r="J36" i="37"/>
  <c r="Q30" i="27"/>
  <c r="C30" i="27"/>
  <c r="C25" i="27"/>
  <c r="Q23" i="27"/>
  <c r="S30" i="27"/>
  <c r="B46" i="29" s="1"/>
  <c r="S28" i="27"/>
  <c r="B44" i="29" s="1"/>
  <c r="S27" i="27"/>
  <c r="B43" i="29" s="1"/>
  <c r="S24" i="27"/>
  <c r="B40" i="29" s="1"/>
  <c r="E24" i="27"/>
  <c r="S23" i="27"/>
  <c r="B39" i="29" s="1"/>
  <c r="E23" i="27"/>
  <c r="AA37" i="22" l="1"/>
  <c r="AA38" i="22"/>
  <c r="AA36" i="22"/>
  <c r="M38" i="22"/>
  <c r="S19" i="27"/>
  <c r="W10" i="27" s="1"/>
  <c r="AA29" i="22" s="1"/>
  <c r="AA61" i="22"/>
  <c r="K61" i="22"/>
  <c r="M61" i="22" s="1"/>
  <c r="E36" i="35"/>
  <c r="I10" i="35" l="1"/>
  <c r="K47" i="22" s="1"/>
  <c r="Y61" i="22"/>
  <c r="Q18" i="39"/>
  <c r="D18" i="39"/>
  <c r="K39" i="22"/>
  <c r="P27" i="2"/>
  <c r="P19" i="2" s="1"/>
  <c r="Y39" i="22" l="1"/>
  <c r="Y47" i="22"/>
  <c r="M47" i="22"/>
  <c r="B112" i="29"/>
  <c r="S23" i="46"/>
  <c r="B51" i="29" s="1"/>
  <c r="S24" i="46"/>
  <c r="B52" i="29" s="1"/>
  <c r="S26" i="46"/>
  <c r="B54" i="29" s="1"/>
  <c r="S22" i="46"/>
  <c r="B50" i="29" s="1"/>
  <c r="E26" i="46"/>
  <c r="E24" i="46"/>
  <c r="E23" i="46"/>
  <c r="E22" i="46"/>
  <c r="O17" i="45"/>
  <c r="B17" i="29" s="1"/>
  <c r="B17" i="45"/>
  <c r="G10" i="6"/>
  <c r="C23" i="46"/>
  <c r="C22" i="46"/>
  <c r="S27" i="46"/>
  <c r="R30" i="46" l="1"/>
  <c r="D30" i="46"/>
  <c r="AC27" i="46"/>
  <c r="E27" i="46"/>
  <c r="AC26" i="46"/>
  <c r="C26" i="46"/>
  <c r="AC24" i="46"/>
  <c r="Q24" i="46"/>
  <c r="C24" i="46"/>
  <c r="AC23" i="46"/>
  <c r="Q23" i="46"/>
  <c r="AC22" i="46"/>
  <c r="Q22" i="46"/>
  <c r="W8" i="46"/>
  <c r="I8" i="46"/>
  <c r="W6" i="46"/>
  <c r="I6" i="46"/>
  <c r="T10" i="45"/>
  <c r="AA23" i="22" s="1"/>
  <c r="G10" i="45"/>
  <c r="K23" i="22" s="1"/>
  <c r="T8" i="45"/>
  <c r="G8" i="45"/>
  <c r="T6" i="45"/>
  <c r="G6" i="45"/>
  <c r="C24" i="27"/>
  <c r="E30" i="27"/>
  <c r="E28" i="27"/>
  <c r="W50" i="22"/>
  <c r="W32" i="22"/>
  <c r="W20" i="22"/>
  <c r="S19" i="46" l="1"/>
  <c r="W10" i="46" s="1"/>
  <c r="AA30" i="22" s="1"/>
  <c r="U60" i="37"/>
  <c r="G178" i="29" s="1"/>
  <c r="E176" i="29"/>
  <c r="H60" i="37"/>
  <c r="S61" i="37"/>
  <c r="E179" i="29" s="1"/>
  <c r="E177" i="29"/>
  <c r="Y23" i="22"/>
  <c r="AC23" i="22" s="1"/>
  <c r="M23" i="22"/>
  <c r="E19" i="46"/>
  <c r="I10" i="46" s="1"/>
  <c r="C66" i="37" l="1"/>
  <c r="C65" i="37"/>
  <c r="C64" i="37"/>
  <c r="W60" i="37"/>
  <c r="K30" i="22"/>
  <c r="Y30" i="22" s="1"/>
  <c r="I178" i="29" l="1"/>
  <c r="Q66" i="37"/>
  <c r="P66" i="37" s="1"/>
  <c r="B184" i="29" s="1"/>
  <c r="Q65" i="37"/>
  <c r="P65" i="37" s="1"/>
  <c r="B183" i="29" s="1"/>
  <c r="Q64" i="37"/>
  <c r="P64" i="37" s="1"/>
  <c r="B182" i="29" s="1"/>
  <c r="M30" i="22"/>
  <c r="C182" i="29" l="1"/>
  <c r="C184" i="29"/>
  <c r="C183" i="29"/>
  <c r="X30" i="36" l="1"/>
  <c r="L30" i="36"/>
  <c r="S31" i="36" l="1"/>
  <c r="T31" i="36"/>
  <c r="U31" i="36"/>
  <c r="V31" i="36"/>
  <c r="W31" i="36"/>
  <c r="X39" i="36" l="1"/>
  <c r="W32" i="36" l="1"/>
  <c r="V32" i="36"/>
  <c r="U32" i="36"/>
  <c r="T32" i="36"/>
  <c r="S32" i="36"/>
  <c r="R32" i="36"/>
  <c r="G31" i="36"/>
  <c r="G32" i="36" s="1"/>
  <c r="H31" i="36"/>
  <c r="H32" i="36" s="1"/>
  <c r="I31" i="36"/>
  <c r="I32" i="36" s="1"/>
  <c r="J31" i="36"/>
  <c r="J32" i="36" s="1"/>
  <c r="K31" i="36"/>
  <c r="K32" i="36" s="1"/>
  <c r="L32" i="36" l="1"/>
  <c r="L34" i="36" s="1"/>
  <c r="X32" i="36"/>
  <c r="X34" i="36" s="1"/>
  <c r="L38" i="36" l="1"/>
  <c r="G10" i="36" s="1"/>
  <c r="K25" i="22" s="1"/>
  <c r="X38" i="36"/>
  <c r="S10" i="36" s="1"/>
  <c r="B32" i="29" s="1"/>
  <c r="C32" i="29" l="1"/>
  <c r="B35" i="29"/>
  <c r="C35" i="29"/>
  <c r="AA25" i="22"/>
  <c r="M25" i="22"/>
  <c r="Y25" i="22"/>
  <c r="C13" i="29"/>
  <c r="W36" i="37" l="1"/>
  <c r="V48" i="37"/>
  <c r="H167" i="29" s="1"/>
  <c r="P47" i="37"/>
  <c r="P46" i="37"/>
  <c r="P45" i="37"/>
  <c r="P44" i="37"/>
  <c r="P43" i="37"/>
  <c r="P42" i="37"/>
  <c r="B161" i="29" s="1"/>
  <c r="P41" i="37"/>
  <c r="B160" i="29" s="1"/>
  <c r="P40" i="37"/>
  <c r="B159" i="29" s="1"/>
  <c r="C41" i="37"/>
  <c r="G51" i="37" s="1"/>
  <c r="F51" i="37" s="1"/>
  <c r="C42" i="37"/>
  <c r="C43" i="37"/>
  <c r="C44" i="37"/>
  <c r="C45" i="37"/>
  <c r="C46" i="37"/>
  <c r="C47" i="37"/>
  <c r="I48" i="37"/>
  <c r="J44" i="37"/>
  <c r="C32" i="37" l="1"/>
  <c r="I155" i="29"/>
  <c r="T51" i="37"/>
  <c r="W44" i="37"/>
  <c r="I163" i="29" s="1"/>
  <c r="W48" i="37"/>
  <c r="I167" i="29" s="1"/>
  <c r="J47" i="37"/>
  <c r="J43" i="37"/>
  <c r="J48" i="37"/>
  <c r="J46" i="37"/>
  <c r="J42" i="37"/>
  <c r="J45" i="37"/>
  <c r="J41" i="37"/>
  <c r="J40" i="37"/>
  <c r="W47" i="37"/>
  <c r="I166" i="29" s="1"/>
  <c r="W43" i="37"/>
  <c r="I162" i="29" s="1"/>
  <c r="W46" i="37"/>
  <c r="I165" i="29" s="1"/>
  <c r="W42" i="37"/>
  <c r="I161" i="29" s="1"/>
  <c r="W45" i="37"/>
  <c r="I164" i="29" s="1"/>
  <c r="W41" i="37"/>
  <c r="I160" i="29" s="1"/>
  <c r="W40" i="37"/>
  <c r="I159" i="29" s="1"/>
  <c r="B51" i="22" l="1"/>
  <c r="K53" i="22" s="1"/>
  <c r="F170" i="29"/>
  <c r="S51" i="37"/>
  <c r="P32" i="37" s="1"/>
  <c r="P51" i="22" s="1"/>
  <c r="R17" i="40"/>
  <c r="D17" i="40"/>
  <c r="H10" i="40" s="1"/>
  <c r="V8" i="40"/>
  <c r="H8" i="40"/>
  <c r="Z6" i="40"/>
  <c r="X6" i="40"/>
  <c r="V6" i="40"/>
  <c r="H6" i="40"/>
  <c r="V5" i="40"/>
  <c r="H5" i="40"/>
  <c r="Y53" i="22" l="1"/>
  <c r="M53" i="22"/>
  <c r="K54" i="22"/>
  <c r="M54" i="22" s="1"/>
  <c r="AA54" i="22"/>
  <c r="AA53" i="22"/>
  <c r="E170" i="29"/>
  <c r="V10" i="40"/>
  <c r="F10" i="37"/>
  <c r="Y54" i="22" l="1"/>
  <c r="Q17" i="39"/>
  <c r="D17" i="39"/>
  <c r="U8" i="39"/>
  <c r="H8" i="39"/>
  <c r="U6" i="39"/>
  <c r="H6" i="39"/>
  <c r="U10" i="39" l="1"/>
  <c r="AA55" i="22" s="1"/>
  <c r="B188" i="29"/>
  <c r="H10" i="39"/>
  <c r="K55" i="22" s="1"/>
  <c r="Y55" i="22" s="1"/>
  <c r="S14" i="9"/>
  <c r="R14" i="9"/>
  <c r="P21" i="6"/>
  <c r="F93" i="24"/>
  <c r="F89" i="24"/>
  <c r="S10" i="37" l="1"/>
  <c r="AC55" i="22"/>
  <c r="M55" i="22" l="1"/>
  <c r="P23" i="6"/>
  <c r="P22" i="6"/>
  <c r="C23" i="6"/>
  <c r="C22" i="6"/>
  <c r="C21" i="6"/>
  <c r="C16" i="6" s="1"/>
  <c r="P16" i="6" l="1"/>
  <c r="T10" i="6" s="1"/>
  <c r="O17" i="3" l="1"/>
  <c r="B13" i="29" s="1"/>
  <c r="B17" i="3"/>
  <c r="T10" i="3" l="1"/>
  <c r="AA22" i="22" s="1"/>
  <c r="G10" i="3"/>
  <c r="K22" i="22" s="1"/>
  <c r="M22" i="22" l="1"/>
  <c r="Y22" i="22"/>
  <c r="X29" i="16"/>
  <c r="I196" i="29" s="1"/>
  <c r="X30" i="16"/>
  <c r="I197" i="29" s="1"/>
  <c r="X31" i="16"/>
  <c r="I198" i="29" s="1"/>
  <c r="X32" i="16"/>
  <c r="I199" i="29" s="1"/>
  <c r="X33" i="16"/>
  <c r="I200" i="29" s="1"/>
  <c r="X34" i="16"/>
  <c r="I201" i="29" s="1"/>
  <c r="X35" i="16"/>
  <c r="I202" i="29" s="1"/>
  <c r="X36" i="16"/>
  <c r="I203" i="29" s="1"/>
  <c r="X37" i="16"/>
  <c r="I204" i="29" s="1"/>
  <c r="X38" i="16"/>
  <c r="I205" i="29" s="1"/>
  <c r="X39" i="16" l="1"/>
  <c r="I206" i="29" s="1"/>
  <c r="U6" i="37" l="1"/>
  <c r="S6" i="37"/>
  <c r="S8" i="37"/>
  <c r="AC6" i="34"/>
  <c r="AB6" i="34"/>
  <c r="AA6" i="34"/>
  <c r="Z6" i="34"/>
  <c r="Y6" i="34"/>
  <c r="X6" i="34"/>
  <c r="X8" i="34"/>
  <c r="S8" i="36"/>
  <c r="S6" i="36"/>
  <c r="H8" i="38"/>
  <c r="H6" i="38"/>
  <c r="F8" i="37"/>
  <c r="F6" i="37"/>
  <c r="D53" i="38" l="1"/>
  <c r="D45" i="38"/>
  <c r="D46" i="38"/>
  <c r="D54" i="38"/>
  <c r="D55" i="38"/>
  <c r="D32" i="38" l="1"/>
  <c r="AA60" i="22"/>
  <c r="H10" i="38" l="1"/>
  <c r="K60" i="22" s="1"/>
  <c r="M60" i="22" s="1"/>
  <c r="Y60" i="22" l="1"/>
  <c r="E31" i="27"/>
  <c r="E27" i="27"/>
  <c r="E25" i="27"/>
  <c r="G8" i="36" l="1"/>
  <c r="G6" i="36"/>
  <c r="AC25" i="22" l="1"/>
  <c r="I8" i="35"/>
  <c r="I6" i="35"/>
  <c r="F47" i="24" l="1"/>
  <c r="AC38" i="22" l="1"/>
  <c r="AC22" i="22" l="1"/>
  <c r="W58" i="22"/>
  <c r="W44" i="22"/>
  <c r="W27" i="22"/>
  <c r="W75" i="22" l="1"/>
  <c r="AD31" i="34"/>
  <c r="AD29" i="34"/>
  <c r="AD27" i="34"/>
  <c r="AD25" i="34"/>
  <c r="AD23" i="34"/>
  <c r="AA31" i="34"/>
  <c r="AA29" i="34"/>
  <c r="AA27" i="34"/>
  <c r="AA25" i="34"/>
  <c r="AA23" i="34"/>
  <c r="W31" i="34"/>
  <c r="W29" i="34"/>
  <c r="W27" i="34"/>
  <c r="W25" i="34"/>
  <c r="W23" i="34"/>
  <c r="AA39" i="22" l="1"/>
  <c r="K31" i="34"/>
  <c r="K29" i="34"/>
  <c r="K27" i="34"/>
  <c r="K25" i="34"/>
  <c r="N31" i="34"/>
  <c r="N29" i="34"/>
  <c r="N27" i="34"/>
  <c r="N25" i="34"/>
  <c r="N23" i="34"/>
  <c r="K23" i="34"/>
  <c r="G31" i="34"/>
  <c r="G29" i="34"/>
  <c r="G27" i="34"/>
  <c r="G25" i="34"/>
  <c r="Y21" i="34"/>
  <c r="H8" i="34"/>
  <c r="H6" i="34"/>
  <c r="AC31" i="27"/>
  <c r="AC30" i="27"/>
  <c r="AC28" i="27"/>
  <c r="M39" i="22" l="1"/>
  <c r="AC39" i="22"/>
  <c r="K6" i="29" l="1"/>
  <c r="E6" i="29"/>
  <c r="E4" i="29"/>
  <c r="E3" i="29"/>
  <c r="Q18" i="33" l="1"/>
  <c r="B244" i="29" s="1"/>
  <c r="D18" i="33"/>
  <c r="H10" i="33" s="1"/>
  <c r="K62" i="22" s="1"/>
  <c r="Y62" i="22" l="1"/>
  <c r="Y58" i="22" s="1"/>
  <c r="M62" i="22"/>
  <c r="K58" i="22"/>
  <c r="U10" i="33"/>
  <c r="U8" i="33"/>
  <c r="H8" i="33"/>
  <c r="U6" i="33"/>
  <c r="H6" i="33"/>
  <c r="AA62" i="22" l="1"/>
  <c r="AA58" i="22" s="1"/>
  <c r="AC58" i="22" s="1"/>
  <c r="S17" i="12"/>
  <c r="E17" i="12"/>
  <c r="S22" i="12" l="1"/>
  <c r="B129" i="29" s="1"/>
  <c r="S21" i="12"/>
  <c r="B128" i="29" s="1"/>
  <c r="W10" i="12" l="1"/>
  <c r="AA46" i="22" s="1"/>
  <c r="O13" i="2" l="1"/>
  <c r="T6" i="2"/>
  <c r="T8" i="2"/>
  <c r="Z19" i="2" l="1"/>
  <c r="T10" i="2"/>
  <c r="AA40" i="22" s="1"/>
  <c r="U8" i="32" l="1"/>
  <c r="H8" i="32"/>
  <c r="U6" i="32"/>
  <c r="H6" i="32"/>
  <c r="C23" i="27" l="1"/>
  <c r="E19" i="27" l="1"/>
  <c r="I10" i="27" s="1"/>
  <c r="K29" i="22" s="1"/>
  <c r="AC23" i="27"/>
  <c r="K27" i="22" l="1"/>
  <c r="M29" i="22"/>
  <c r="Y29" i="22"/>
  <c r="Y27" i="22" s="1"/>
  <c r="I27" i="22"/>
  <c r="AC29" i="22" l="1"/>
  <c r="C78" i="23"/>
  <c r="C75" i="23" s="1"/>
  <c r="W8" i="27"/>
  <c r="W6" i="27"/>
  <c r="I8" i="27"/>
  <c r="I6" i="27"/>
  <c r="B13" i="2"/>
  <c r="F101" i="24"/>
  <c r="S27" i="8"/>
  <c r="B64" i="29" s="1"/>
  <c r="Q27" i="8"/>
  <c r="S26" i="8"/>
  <c r="B63" i="29" s="1"/>
  <c r="Q26" i="8"/>
  <c r="S25" i="8"/>
  <c r="B62" i="29" s="1"/>
  <c r="Q25" i="8"/>
  <c r="S16" i="8" s="1"/>
  <c r="S24" i="8"/>
  <c r="B61" i="29" s="1"/>
  <c r="Q24" i="8"/>
  <c r="S23" i="8"/>
  <c r="B60" i="29" s="1"/>
  <c r="Q23" i="8"/>
  <c r="S22" i="8"/>
  <c r="B59" i="29" s="1"/>
  <c r="Q22" i="8"/>
  <c r="S21" i="8"/>
  <c r="B58" i="29" s="1"/>
  <c r="Q21" i="8"/>
  <c r="Z21" i="2"/>
  <c r="Z25" i="2"/>
  <c r="Z27" i="2"/>
  <c r="C27" i="8"/>
  <c r="C26" i="8"/>
  <c r="C25" i="8"/>
  <c r="AC27" i="27"/>
  <c r="AC25" i="27"/>
  <c r="F105" i="24"/>
  <c r="F97" i="24"/>
  <c r="F85" i="24"/>
  <c r="F81" i="24"/>
  <c r="F77" i="24"/>
  <c r="F73" i="24"/>
  <c r="F69" i="24"/>
  <c r="F64" i="24"/>
  <c r="F60" i="24"/>
  <c r="F43" i="24"/>
  <c r="F39" i="24"/>
  <c r="F35" i="24"/>
  <c r="F31" i="24"/>
  <c r="F26" i="24"/>
  <c r="F22" i="24"/>
  <c r="E8" i="24"/>
  <c r="E6" i="24"/>
  <c r="E5" i="24"/>
  <c r="G6" i="3"/>
  <c r="H8" i="13"/>
  <c r="H6" i="13"/>
  <c r="I8" i="12"/>
  <c r="I6" i="12"/>
  <c r="I8" i="8"/>
  <c r="I6" i="8"/>
  <c r="H8" i="16"/>
  <c r="H6" i="16"/>
  <c r="I8" i="11"/>
  <c r="I6" i="11"/>
  <c r="H8" i="9"/>
  <c r="H6" i="9"/>
  <c r="G8" i="6"/>
  <c r="G6" i="6"/>
  <c r="G5" i="6"/>
  <c r="H8" i="5"/>
  <c r="H6" i="5"/>
  <c r="G8" i="3"/>
  <c r="H8" i="23"/>
  <c r="H6" i="23"/>
  <c r="H5" i="23"/>
  <c r="U8" i="16"/>
  <c r="U6" i="16"/>
  <c r="U8" i="13"/>
  <c r="U6" i="13"/>
  <c r="W8" i="12"/>
  <c r="W6" i="12"/>
  <c r="W8" i="11"/>
  <c r="W6" i="11"/>
  <c r="W8" i="8"/>
  <c r="W6" i="8"/>
  <c r="T8" i="6"/>
  <c r="T6" i="6"/>
  <c r="T5" i="6"/>
  <c r="U8" i="5"/>
  <c r="U6" i="5"/>
  <c r="T8" i="3"/>
  <c r="T6" i="3"/>
  <c r="Q21" i="13"/>
  <c r="O21" i="13"/>
  <c r="B21" i="13"/>
  <c r="D21" i="13"/>
  <c r="H10" i="13" s="1"/>
  <c r="E22" i="12"/>
  <c r="E21" i="12"/>
  <c r="C21" i="8"/>
  <c r="W24" i="5"/>
  <c r="X21" i="5" s="1"/>
  <c r="U24" i="5"/>
  <c r="V19" i="5" s="1"/>
  <c r="Y23" i="5"/>
  <c r="Y22" i="5"/>
  <c r="Y21" i="5"/>
  <c r="Y20" i="5"/>
  <c r="Y19" i="5"/>
  <c r="Y18" i="5"/>
  <c r="J39" i="16"/>
  <c r="K38" i="16"/>
  <c r="K37" i="16"/>
  <c r="K36" i="16"/>
  <c r="K35" i="16"/>
  <c r="K34" i="16"/>
  <c r="K33" i="16"/>
  <c r="K32" i="16"/>
  <c r="K31" i="16"/>
  <c r="K30" i="16"/>
  <c r="K29" i="16"/>
  <c r="C24" i="8"/>
  <c r="C23" i="8"/>
  <c r="C22" i="8"/>
  <c r="J24" i="5"/>
  <c r="H24" i="5"/>
  <c r="L23" i="5"/>
  <c r="L22" i="5"/>
  <c r="L21" i="5"/>
  <c r="L20" i="5"/>
  <c r="L19" i="5"/>
  <c r="L18" i="5"/>
  <c r="B151" i="29" l="1"/>
  <c r="U10" i="13"/>
  <c r="G10" i="2"/>
  <c r="K40" i="22" s="1"/>
  <c r="P21" i="8"/>
  <c r="O22" i="13"/>
  <c r="I10" i="12"/>
  <c r="K46" i="22" s="1"/>
  <c r="Y46" i="22" s="1"/>
  <c r="R44" i="16"/>
  <c r="C211" i="29" s="1"/>
  <c r="K39" i="16"/>
  <c r="B22" i="13"/>
  <c r="K48" i="22" s="1"/>
  <c r="M48" i="22" s="1"/>
  <c r="C28" i="8"/>
  <c r="B21" i="8"/>
  <c r="Q28" i="8"/>
  <c r="W10" i="8" s="1"/>
  <c r="K20" i="5"/>
  <c r="X22" i="5"/>
  <c r="V21" i="5"/>
  <c r="X18" i="5"/>
  <c r="V22" i="5"/>
  <c r="V23" i="5"/>
  <c r="K23" i="5"/>
  <c r="X19" i="5"/>
  <c r="X20" i="5"/>
  <c r="V20" i="5"/>
  <c r="R29" i="5" s="1"/>
  <c r="Q29" i="5" s="1"/>
  <c r="X23" i="5"/>
  <c r="I23" i="5"/>
  <c r="V18" i="5"/>
  <c r="K19" i="5"/>
  <c r="K18" i="5"/>
  <c r="K22" i="5"/>
  <c r="I18" i="5"/>
  <c r="K21" i="5"/>
  <c r="Y24" i="5"/>
  <c r="Z20" i="5" s="1"/>
  <c r="I21" i="5"/>
  <c r="I20" i="5"/>
  <c r="I19" i="5"/>
  <c r="I22" i="5"/>
  <c r="L24" i="5"/>
  <c r="M22" i="5" s="1"/>
  <c r="E44" i="16" l="1"/>
  <c r="D44" i="16" s="1"/>
  <c r="E45" i="16"/>
  <c r="E47" i="16"/>
  <c r="D47" i="16" s="1"/>
  <c r="E43" i="16"/>
  <c r="E46" i="16"/>
  <c r="D46" i="16" s="1"/>
  <c r="M40" i="22"/>
  <c r="K32" i="22"/>
  <c r="E29" i="5"/>
  <c r="D29" i="5" s="1"/>
  <c r="R34" i="5"/>
  <c r="C27" i="29" s="1"/>
  <c r="R33" i="5"/>
  <c r="C26" i="29" s="1"/>
  <c r="Y40" i="22"/>
  <c r="AA48" i="22"/>
  <c r="AA44" i="22" s="1"/>
  <c r="Y48" i="22"/>
  <c r="Y44" i="22" s="1"/>
  <c r="R30" i="5"/>
  <c r="C23" i="29" s="1"/>
  <c r="C22" i="29"/>
  <c r="E34" i="5"/>
  <c r="D34" i="5" s="1"/>
  <c r="E33" i="5"/>
  <c r="D33" i="5" s="1"/>
  <c r="E30" i="5"/>
  <c r="D30" i="5" s="1"/>
  <c r="Q44" i="16"/>
  <c r="B211" i="29" s="1"/>
  <c r="AA34" i="22"/>
  <c r="Y40" i="2"/>
  <c r="R46" i="16"/>
  <c r="C213" i="29" s="1"/>
  <c r="R45" i="16"/>
  <c r="C212" i="29" s="1"/>
  <c r="R43" i="16"/>
  <c r="R47" i="16"/>
  <c r="C214" i="29" s="1"/>
  <c r="D43" i="16"/>
  <c r="D45" i="16"/>
  <c r="V24" i="5"/>
  <c r="X24" i="5"/>
  <c r="Z22" i="5"/>
  <c r="Z18" i="5"/>
  <c r="Z23" i="5"/>
  <c r="Z21" i="5"/>
  <c r="Z19" i="5"/>
  <c r="M18" i="5"/>
  <c r="D15" i="5"/>
  <c r="K24" i="5"/>
  <c r="I24" i="5"/>
  <c r="Q15" i="5"/>
  <c r="M19" i="5"/>
  <c r="M21" i="5"/>
  <c r="M20" i="5"/>
  <c r="M23" i="5"/>
  <c r="B29" i="5" l="1"/>
  <c r="B33" i="5"/>
  <c r="H10" i="5" s="1"/>
  <c r="C210" i="29"/>
  <c r="Q43" i="16"/>
  <c r="B210" i="29" s="1"/>
  <c r="M46" i="22"/>
  <c r="Q47" i="16"/>
  <c r="B214" i="29" s="1"/>
  <c r="Q34" i="5"/>
  <c r="B27" i="29" s="1"/>
  <c r="Q45" i="16"/>
  <c r="B212" i="29" s="1"/>
  <c r="Q33" i="5"/>
  <c r="B26" i="29" s="1"/>
  <c r="Q46" i="16"/>
  <c r="B213" i="29" s="1"/>
  <c r="AC40" i="22"/>
  <c r="AC46" i="22"/>
  <c r="H10" i="16"/>
  <c r="K56" i="22" s="1"/>
  <c r="AC34" i="22"/>
  <c r="AC48" i="22"/>
  <c r="AC47" i="22"/>
  <c r="Q30" i="5"/>
  <c r="B23" i="29" s="1"/>
  <c r="Z24" i="5"/>
  <c r="B22" i="29"/>
  <c r="M24" i="5"/>
  <c r="M56" i="22" l="1"/>
  <c r="Y56" i="22"/>
  <c r="Y50" i="22" s="1"/>
  <c r="K50" i="22"/>
  <c r="O33" i="5"/>
  <c r="K44" i="22"/>
  <c r="U10" i="16"/>
  <c r="AA56" i="22" s="1"/>
  <c r="AC44" i="22"/>
  <c r="AC61" i="22"/>
  <c r="AC60" i="22"/>
  <c r="AC62" i="22"/>
  <c r="O29" i="5"/>
  <c r="K24" i="22"/>
  <c r="U10" i="5" l="1"/>
  <c r="AA24" i="22" s="1"/>
  <c r="AA20" i="22" s="1"/>
  <c r="Y24" i="22"/>
  <c r="Y20" i="22" s="1"/>
  <c r="M24" i="22"/>
  <c r="K20" i="22"/>
  <c r="AA32" i="22"/>
  <c r="AC56" i="22"/>
  <c r="AA50" i="22"/>
  <c r="AC41" i="22"/>
  <c r="AA27" i="22"/>
  <c r="AC27" i="22" s="1"/>
  <c r="AC54" i="22"/>
  <c r="AC30" i="22"/>
  <c r="AA75" i="22" l="1"/>
  <c r="AC20" i="22"/>
  <c r="AC24" i="22"/>
  <c r="AC50" i="22"/>
  <c r="AC53" i="22"/>
  <c r="Y36" i="22"/>
  <c r="AC36" i="22" s="1"/>
  <c r="K75" i="22"/>
  <c r="M36" i="22"/>
  <c r="Y37" i="22" l="1"/>
  <c r="AC37" i="22" s="1"/>
  <c r="Y32" i="22" l="1"/>
  <c r="Y75" i="22" s="1"/>
  <c r="AC75" i="22" s="1"/>
  <c r="AC32" i="2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D5" authorId="0" shapeId="0" xr:uid="{00000000-0006-0000-0100-000001000000}">
      <text>
        <r>
          <rPr>
            <sz val="8"/>
            <color indexed="81"/>
            <rFont val="Tahoma"/>
            <family val="2"/>
          </rPr>
          <t xml:space="preserve">Enter the 5-digit project identification number assigned at the PPA
</t>
        </r>
      </text>
    </comment>
    <comment ref="M18" authorId="0" shapeId="0" xr:uid="{00000000-0006-0000-0100-000002000000}">
      <text>
        <r>
          <rPr>
            <sz val="8"/>
            <color indexed="81"/>
            <rFont val="Tahoma"/>
            <family val="2"/>
          </rPr>
          <t xml:space="preserve">N/A: Indicates no self-score and no scoring checklist selection
Deficient: Indicates self-score and no scoring checklist selection
Complete: Indicates self-score and scoring checklist selection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K116" authorId="0" shapeId="0" xr:uid="{237FBAC5-C93C-4620-A37F-4320D46C9763}">
      <text>
        <r>
          <rPr>
            <sz val="8"/>
            <color indexed="81"/>
            <rFont val="Tahoma"/>
            <family val="2"/>
          </rPr>
          <t xml:space="preserve">The set-aside for each site identified on the Address Exhibit tab of the Common Application must be indicated below.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K35" authorId="0" shapeId="0" xr:uid="{5002CDBF-BA4B-4BE0-AF7D-F0A35493ACAC}">
      <text>
        <r>
          <rPr>
            <sz val="9"/>
            <color indexed="81"/>
            <rFont val="Tahoma"/>
            <family val="2"/>
          </rPr>
          <t xml:space="preserve">Does not include "Other GC Costs," as categorized in the Common Application (e.g., P&amp;P Bond/LOC, Permits, Builders Risk, FF&amp;E, Environmental Remediation and Contingency).
</t>
        </r>
      </text>
    </comment>
    <comment ref="W35" authorId="0" shapeId="0" xr:uid="{00C0DE64-E6F9-493E-9380-E54031CF2299}">
      <text>
        <r>
          <rPr>
            <sz val="9"/>
            <color indexed="81"/>
            <rFont val="Tahoma"/>
            <family val="2"/>
          </rPr>
          <t>Does not include "Other GC Costs," as categorized in the Common Application (e.g., P&amp;P Bond/LOC, Permits, Builders Risk, FF&amp;E, Environmental Remediation and Contingency).</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M30" authorId="0" shapeId="0" xr:uid="{00000000-0006-0000-0E00-000001000000}">
      <text>
        <r>
          <rPr>
            <sz val="8"/>
            <color indexed="81"/>
            <rFont val="Tahoma"/>
            <family val="2"/>
          </rPr>
          <t xml:space="preserve">The set-aside for each site identified on the Address Exhibit tab of the Common Application must be indicated below.  
</t>
        </r>
      </text>
    </comment>
    <comment ref="AM30" authorId="0" shapeId="0" xr:uid="{4DED22C8-9687-4EA1-9637-16928CE4F21A}">
      <text>
        <r>
          <rPr>
            <sz val="8"/>
            <color indexed="81"/>
            <rFont val="Tahoma"/>
            <family val="2"/>
          </rPr>
          <t xml:space="preserve">The set-aside for each site identified on the Address Exhibit tab of the Common Application must be indicated below.  
</t>
        </r>
      </text>
    </comment>
  </commentList>
</comments>
</file>

<file path=xl/sharedStrings.xml><?xml version="1.0" encoding="utf-8"?>
<sst xmlns="http://schemas.openxmlformats.org/spreadsheetml/2006/main" count="6766" uniqueCount="681">
  <si>
    <t>PID:</t>
  </si>
  <si>
    <t>Project Name:</t>
  </si>
  <si>
    <t>Application Due Date:</t>
  </si>
  <si>
    <t>X</t>
  </si>
  <si>
    <t>Total Units</t>
  </si>
  <si>
    <t>Bedroom Type</t>
  </si>
  <si>
    <t>Elderly Restricted Units</t>
  </si>
  <si>
    <t>Non-Elderly Units</t>
  </si>
  <si>
    <t>Studio</t>
  </si>
  <si>
    <t>One-Bedroom</t>
  </si>
  <si>
    <t>Two-Bedroom</t>
  </si>
  <si>
    <t>Three-Bedroom</t>
  </si>
  <si>
    <t>Four-Bedroom</t>
  </si>
  <si>
    <t>Five-Bedroom</t>
  </si>
  <si>
    <t>Two-bedroom units as a % of Elderly Restricted Units</t>
  </si>
  <si>
    <t>Three-bedroom and larger units as a % of Non-Elderly Units</t>
  </si>
  <si>
    <t>Scoring - Rehabilitation Certification</t>
  </si>
  <si>
    <t>Market Characteristics</t>
  </si>
  <si>
    <t>Inferior</t>
  </si>
  <si>
    <t>Superior</t>
  </si>
  <si>
    <t>Set-Asides</t>
  </si>
  <si>
    <t>Threshold</t>
  </si>
  <si>
    <t>Sites</t>
  </si>
  <si>
    <t/>
  </si>
  <si>
    <t>City of Chicago</t>
  </si>
  <si>
    <t>Chicago Metro: AHPAA</t>
  </si>
  <si>
    <t>Chicago Metro: Non AHPAA</t>
  </si>
  <si>
    <t>Other Metro</t>
  </si>
  <si>
    <t>Non Metro</t>
  </si>
  <si>
    <t>Total Sites:</t>
  </si>
  <si>
    <t>Site #:</t>
  </si>
  <si>
    <t>Set-Aside:</t>
  </si>
  <si>
    <t>Asset</t>
  </si>
  <si>
    <t>Name</t>
  </si>
  <si>
    <t>Address</t>
  </si>
  <si>
    <t>Distance</t>
  </si>
  <si>
    <t>Count</t>
  </si>
  <si>
    <t>Leveraging Sources</t>
  </si>
  <si>
    <t>Source</t>
  </si>
  <si>
    <t>Amount</t>
  </si>
  <si>
    <t>%</t>
  </si>
  <si>
    <t>Total Leveraging Sources:</t>
  </si>
  <si>
    <t>Leveraging Resources as a % of the Total Project Budget Threshold</t>
  </si>
  <si>
    <t>Total Project Units</t>
  </si>
  <si>
    <t>Total</t>
  </si>
  <si>
    <t>Self-Score:</t>
  </si>
  <si>
    <t>IHDA Score:</t>
  </si>
  <si>
    <t>Application Round</t>
  </si>
  <si>
    <t>Application Round:</t>
  </si>
  <si>
    <t>Self Score:</t>
  </si>
  <si>
    <t>Self Score</t>
  </si>
  <si>
    <t>IHDA Score</t>
  </si>
  <si>
    <t>Points</t>
  </si>
  <si>
    <t>Applicant</t>
  </si>
  <si>
    <t>Underwriting</t>
  </si>
  <si>
    <t>XIV Scoring</t>
  </si>
  <si>
    <t>Score</t>
  </si>
  <si>
    <t>Larger Units Threshold</t>
  </si>
  <si>
    <t>Selection</t>
  </si>
  <si>
    <t>Scoring - Market Characteristics Certification</t>
  </si>
  <si>
    <t>Units Assisted</t>
  </si>
  <si>
    <t>Term Remaining</t>
  </si>
  <si>
    <t>Minimum</t>
  </si>
  <si>
    <t>Checklist</t>
  </si>
  <si>
    <t>Scoring Summary</t>
  </si>
  <si>
    <t>Scoring Checklist</t>
  </si>
  <si>
    <t>Total Project  Units:</t>
  </si>
  <si>
    <t>Contract #</t>
  </si>
  <si>
    <t>Scoring Notes</t>
  </si>
  <si>
    <t>Characters remaining</t>
  </si>
  <si>
    <t>Characters</t>
  </si>
  <si>
    <t>QAP Points</t>
  </si>
  <si>
    <t>Instructions</t>
  </si>
  <si>
    <t>Document Protection</t>
  </si>
  <si>
    <t>Cell Notes and Comments</t>
  </si>
  <si>
    <t>Click on any cell with a comment (denoted by a small red triangle in the upper right hand corner) to get tips or information.</t>
  </si>
  <si>
    <t>Total Project Units:</t>
  </si>
  <si>
    <t>Summary</t>
  </si>
  <si>
    <t>Notes</t>
  </si>
  <si>
    <t>Individual Scoring Certifications (labeled according to the outline in the QAP)</t>
  </si>
  <si>
    <t>Data Validation and Entry:</t>
  </si>
  <si>
    <t>Text based data entry required</t>
  </si>
  <si>
    <t>Drop down menu options for selection</t>
  </si>
  <si>
    <t xml:space="preserve">Scoring Checklist </t>
  </si>
  <si>
    <t>Multiple inputs are required in order to complete and populate the Scoring Form.  Incomplete entries will not populate the Scoring Form.  Cells throughout the Scoring Form are color coded as follows:</t>
  </si>
  <si>
    <t>Notes and comments, of a limited length, and pertaining to each scoring section outlined in the QAP may be entered below.  Partially entering text and pressing enter will calculate the characters remaining.</t>
  </si>
  <si>
    <t>In all cases, it is the applicant's responsibility to ensure the Application is clear, unambiguous, and complete, and that documentation submitted evidences the criteria outlined in the QAP.</t>
  </si>
  <si>
    <t>Many cells and the document itself are protected against changes.  Protected cells cannot be selected and no input is necessary or permitted.  Any changes to the protected content of the Scoring Form, will void the entire Application.</t>
  </si>
  <si>
    <t>Do not complete the Underwriting portion of any worksheet.</t>
  </si>
  <si>
    <t xml:space="preserve">Inclusion of this scoring summary form and corresponding scoring certification worksheets within an Application will obligate the Project Sponsors and Owner to comply with the information contained herein.  </t>
  </si>
  <si>
    <t>A) Project Design and Construction</t>
  </si>
  <si>
    <t>D) Development Team Characteristics</t>
  </si>
  <si>
    <t>E) Financial Characteristics</t>
  </si>
  <si>
    <t>G) Tiebreaker Criteria</t>
  </si>
  <si>
    <t>Scoring - Transportation Certification</t>
  </si>
  <si>
    <t>Set-aside</t>
  </si>
  <si>
    <t>Map(s) clearly delineating all Sites and distance to the nearest fixed route transit stop and/or car share vehicle location</t>
  </si>
  <si>
    <t>Appropriate – Market is considered to be appropriate for the proposed Project and should not pose any obstacle towards renting up and sustaining occupancy</t>
  </si>
  <si>
    <t>Scoring of market factors (discussed in detail in the Standards for Market Study Reviews and Professionals, available on the Website) reflect market conditions that are not conducive to the project proposed.</t>
  </si>
  <si>
    <t>Complete</t>
  </si>
  <si>
    <t>Deficient</t>
  </si>
  <si>
    <t>N/A</t>
  </si>
  <si>
    <t>Scoring of market factors (discussed in detail in the Standards for Market Study Reviews and Professionals, available on the Website) reflect market conditions that benefit the project proposed.</t>
  </si>
  <si>
    <t>Please direct and questions or comments regarding the Scoring Form to multifamilyfin@ihda.org</t>
  </si>
  <si>
    <t>C) Community Characteristics</t>
  </si>
  <si>
    <t>The applicable proximity radius around the Site</t>
  </si>
  <si>
    <t>4) Transportation</t>
  </si>
  <si>
    <t>5) Neighborhood Assets</t>
  </si>
  <si>
    <t>Set Aside</t>
  </si>
  <si>
    <t>Set Aside:</t>
  </si>
  <si>
    <t>Transportation Type</t>
  </si>
  <si>
    <t>Latitude:</t>
  </si>
  <si>
    <t>Longitude:</t>
  </si>
  <si>
    <t>Yes</t>
  </si>
  <si>
    <t>No</t>
  </si>
  <si>
    <t>Project is scattered site:</t>
  </si>
  <si>
    <t>Project is located in:</t>
  </si>
  <si>
    <t>Opportunity Area</t>
  </si>
  <si>
    <t>Proximate Opportunity Area</t>
  </si>
  <si>
    <t>PPA Point Determination:</t>
  </si>
  <si>
    <t>2) Priority Community Targeting</t>
  </si>
  <si>
    <t>3) Affordability Risk Index</t>
  </si>
  <si>
    <t>For projects serving both elderly and non-elderly populations, points are not cumulative and are limited to the lowest score by population.</t>
  </si>
  <si>
    <t>Affordability Risk Index Score:</t>
  </si>
  <si>
    <t>Census Tract Number (11-digit FIPS code):</t>
  </si>
  <si>
    <t>Units:</t>
  </si>
  <si>
    <t>Scoring - Neighborhood Assets Certification</t>
  </si>
  <si>
    <t>1) Universal Design</t>
  </si>
  <si>
    <t>Scoring - Universal Design Certification</t>
  </si>
  <si>
    <t>SPAR Score:</t>
  </si>
  <si>
    <t>1) Universal Design Certification</t>
  </si>
  <si>
    <t>Submission of supporting community revitalization effort documentation</t>
  </si>
  <si>
    <t>Submission of all applicable 11-digit census tract numbers</t>
  </si>
  <si>
    <t>Difference</t>
  </si>
  <si>
    <t>1) Illinois Based Participants</t>
  </si>
  <si>
    <t>OR</t>
  </si>
  <si>
    <t>Illinois Based Participant Threshold</t>
  </si>
  <si>
    <t>Chicago Metro</t>
  </si>
  <si>
    <t>Rehabilitation</t>
  </si>
  <si>
    <t>Cost Containment</t>
  </si>
  <si>
    <t>1) Market Characteristics</t>
  </si>
  <si>
    <t xml:space="preserve">                                           </t>
  </si>
  <si>
    <t>Site and Market Study</t>
  </si>
  <si>
    <t>Site and Market Study Summary Form</t>
  </si>
  <si>
    <t xml:space="preserve">2a) Opportunity Areas </t>
  </si>
  <si>
    <t>PPA approval letter determining eligibility for Opportunity Area or Proximate Opportunity Area points</t>
  </si>
  <si>
    <t>*</t>
  </si>
  <si>
    <t>Scoring - Unit Mix Certification</t>
  </si>
  <si>
    <t xml:space="preserve">For all Projects, complete and submit the following worksheets:
</t>
  </si>
  <si>
    <t>Scoring - Opportunity Area Certification</t>
  </si>
  <si>
    <t>Scoring - Illinois Based Participants Certification</t>
  </si>
  <si>
    <t>All categories scored for below are evidenced through submission of the documents set forth in the QAP</t>
  </si>
  <si>
    <t>Development is located in an AHPAA community.</t>
  </si>
  <si>
    <t>Additional Documents:</t>
  </si>
  <si>
    <t>Architectural Standards, Universal Design, and Amenities Certification</t>
  </si>
  <si>
    <t>Failure to meet PPA conditions</t>
  </si>
  <si>
    <t>Up to a 3 point deduction.</t>
  </si>
  <si>
    <t>New Construction and Adaptive Reuse</t>
  </si>
  <si>
    <t>Rehab or Rehab/New Construction</t>
  </si>
  <si>
    <t>This category shall not include adaptive reuse. Adaptive reuse of non-residential properties for residential use will be treated as new construction for scoring purposes.</t>
  </si>
  <si>
    <t>Per Unit Rehabilitation Construction Costs:</t>
  </si>
  <si>
    <t>$47,500 - $55,000</t>
  </si>
  <si>
    <t>$55,001 - $70,000</t>
  </si>
  <si>
    <t>$70,001 or more</t>
  </si>
  <si>
    <t>Qualified Non-Profit holds a majority ownership interest in the general partner or managing member of the project Owner and will materially participate throughout Compliance period. The Qualified Non-Profit has the right of first refusal at the end of the Compliance Period.</t>
  </si>
  <si>
    <t>Non-profit Organization Participation</t>
  </si>
  <si>
    <t>Scoring - Cost Containment Certification</t>
  </si>
  <si>
    <t>1) Market Characteristics (Scored by IHDA)</t>
  </si>
  <si>
    <t>1) Rental Assistance or Deeper Income Targeting</t>
  </si>
  <si>
    <t>b) Deeper Income Targeting</t>
  </si>
  <si>
    <t>1) Statewide Referral Network</t>
  </si>
  <si>
    <t>1) First Tiebreaker: Projects that serve the lowest income households.</t>
  </si>
  <si>
    <t>4) Fourth Tiebreaker: Projects with historic significance.</t>
  </si>
  <si>
    <t>Each worksheet has three defined ranges selectable through Excel's "Name Box."  The ranges are: Applicant, Underwriting, and Print_Area.</t>
  </si>
  <si>
    <t>Distance By Miles</t>
  </si>
  <si>
    <t>Distance Thresholds:</t>
  </si>
  <si>
    <t>Criteria</t>
  </si>
  <si>
    <t>Total Points</t>
  </si>
  <si>
    <t>Final Score</t>
  </si>
  <si>
    <t>Scoring - Rental Assistance or Deeper Income Targeting Certification</t>
  </si>
  <si>
    <t>Rental Assistance or Deeper Income Targeting Certification</t>
  </si>
  <si>
    <t>Project has no Authority resource request other than Federal Tax Credits (LIHTC).</t>
  </si>
  <si>
    <t>Leveraging Authority Resources</t>
  </si>
  <si>
    <t>Leveraging Non-Authority Sources</t>
  </si>
  <si>
    <t>Leveraging Resources</t>
  </si>
  <si>
    <t>Non-Leveraging Resources</t>
  </si>
  <si>
    <t>Funds provided by a non-Authority source
(e.g. private permanent first mortgage loans)</t>
  </si>
  <si>
    <t>Capital contributions from a project Participant (including equity generated by non-Authority resources, such as Historic Tax Credits)</t>
  </si>
  <si>
    <t xml:space="preserve">Authority funds with a market rate of interest </t>
  </si>
  <si>
    <t>Municipal financing (e.g. county HOME or CBDG funds) or USDA financing</t>
  </si>
  <si>
    <t>Funds generated by Authority allocated resources (i.e., tax-credit equity from Federal Tax Credits)</t>
  </si>
  <si>
    <t>Authority funds with a non-market rate of interest</t>
  </si>
  <si>
    <t>Loans that are repaid from Authority allocated resources (i.e., bridge loans)</t>
  </si>
  <si>
    <t>A seller’s financing note</t>
  </si>
  <si>
    <t>The following are examples of leveraging and non-leveraging resources:</t>
  </si>
  <si>
    <t>Scoring - Statewide Referral Network Units Certification</t>
  </si>
  <si>
    <t>Statewide Referral Network Units</t>
  </si>
  <si>
    <t>Communities with Demand for SRN</t>
  </si>
  <si>
    <t>A development located in a community with demand for SRN may receive an additional four (4) points. See the SRN Communities of Demand list available on the Authority’s Website.</t>
  </si>
  <si>
    <t>Development located in a community with demand for SRN.</t>
  </si>
  <si>
    <t>Between</t>
  </si>
  <si>
    <t>Total SRN Units</t>
  </si>
  <si>
    <t>SRN as % of Total Units</t>
  </si>
  <si>
    <t>Units Above Mandatory Requirement</t>
  </si>
  <si>
    <t>Rental Assistance</t>
  </si>
  <si>
    <t>Deeper Income Targeting</t>
  </si>
  <si>
    <t>Rental Assistance Provider and Type</t>
  </si>
  <si>
    <t>% of Total Units</t>
  </si>
  <si>
    <t>Eligible for Points</t>
  </si>
  <si>
    <t>Eligible Federal Rental Assistance units as a % of total Project Units</t>
  </si>
  <si>
    <t>30% Units as Percentage of Total Units Above and Beyond Mandatory Requirement</t>
  </si>
  <si>
    <t>Mandatory SRN/30% AMI Units</t>
  </si>
  <si>
    <t>Total 30% AMI Units</t>
  </si>
  <si>
    <t>30 AMI Units as % of Total Units</t>
  </si>
  <si>
    <t>% of 30% AMI Units Above Mandatory Requirement</t>
  </si>
  <si>
    <t>- OR -</t>
  </si>
  <si>
    <t>Greater than</t>
  </si>
  <si>
    <t>Projects that involve the rehabilitation of existing buildings can earn up to seven (7) points.</t>
  </si>
  <si>
    <t>Provides an additional ten (10) Universal Design elements above the mandatory requirements.</t>
  </si>
  <si>
    <t xml:space="preserve">Section XIV - F3 - AHPPAA </t>
  </si>
  <si>
    <t>Threshold Requirements: (All must be met to qualify for Scoring Criteria)</t>
  </si>
  <si>
    <t>Cover Letter</t>
  </si>
  <si>
    <t>Defined Community Revitalization Strategy and Area</t>
  </si>
  <si>
    <t>Community Revitalization Strategy must demonstrate components of:</t>
  </si>
  <si>
    <t xml:space="preserve">1) Affordable housing </t>
  </si>
  <si>
    <t>2) Community participation</t>
  </si>
  <si>
    <t>3) Plan adoption, approval, or support by local champion</t>
  </si>
  <si>
    <t>4) Economic development integration</t>
  </si>
  <si>
    <t>Scoring Criteria: (Threshold Requirements must first be met to qualify)</t>
  </si>
  <si>
    <t>Community Revitalization Strategy must provide evidence of the following activities within the Community Revitalization Strategy Area:</t>
  </si>
  <si>
    <t xml:space="preserve">Addresses a pre-existing community need (up to 2 points) </t>
  </si>
  <si>
    <t>Capacity-building and partnerships (up to 2 points)</t>
  </si>
  <si>
    <t>Improvements in amenities and services (up to 3 points)</t>
  </si>
  <si>
    <t>The Community Revitalization Strategy is being implemented (up to 1 point)</t>
  </si>
  <si>
    <t>The Community Revitalization Strategy has funding and will continue to be implemented (up to 1 point)</t>
  </si>
  <si>
    <t>Unit Type:</t>
  </si>
  <si>
    <t>Total Units:</t>
  </si>
  <si>
    <t>QAP Limit per Unit:</t>
  </si>
  <si>
    <t>Total Cost Limit:</t>
  </si>
  <si>
    <t>Hard Construction Cost Limit:</t>
  </si>
  <si>
    <t>Hard Construction Costs:</t>
  </si>
  <si>
    <t># of Bedrooms </t>
  </si>
  <si>
    <t>Hard Construction Costs as a  % of  TDC (Less Land):</t>
  </si>
  <si>
    <t>Hard Construction Costs as a  % of  Hard Cost Limits:</t>
  </si>
  <si>
    <t>Project Type</t>
  </si>
  <si>
    <t>New Constuction and Adaptive Reuse</t>
  </si>
  <si>
    <t>Elderly</t>
  </si>
  <si>
    <t>Non-Elderly</t>
  </si>
  <si>
    <t>A development located in a community with demand for SRN may receive an additional four (4) points. See the SRN Communities of Demand list available on the Authority’s Website. Elderly projects are not eligible for points in this category.</t>
  </si>
  <si>
    <t>Total Development Costs (Less Land):</t>
  </si>
  <si>
    <t>Change Log</t>
  </si>
  <si>
    <t>JH</t>
  </si>
  <si>
    <t>Added ADA tab</t>
  </si>
  <si>
    <t>Adjusted language 20A1 - matches language in QAP</t>
  </si>
  <si>
    <t>Added ADA line to Summary (placement/order must be confirmed with SPAR</t>
  </si>
  <si>
    <t>Added ADA line to Scoring Checklist tab, again - order must be confirmed by SPAR</t>
  </si>
  <si>
    <t>Adjusted scores on Summary tab</t>
  </si>
  <si>
    <t>2c) Community Revitalization Strategies (Scored by IHDA)</t>
  </si>
  <si>
    <t>2b) Quality of Life Index</t>
  </si>
  <si>
    <t>Added QLI to Summary</t>
  </si>
  <si>
    <t xml:space="preserve">Added tab for QLI </t>
  </si>
  <si>
    <t>Deleted line for "communities with demand for SRN" from Summary</t>
  </si>
  <si>
    <t>2c) Community Revitalization Efforts</t>
  </si>
  <si>
    <t>2) Second Tiebreaker: Projects that are intended for eventual tenant ownership.</t>
  </si>
  <si>
    <t>3) Third Tiebreaker: Projects with the longest affordability period.</t>
  </si>
  <si>
    <t>5) Projects with the lowest per unit construction costs.</t>
  </si>
  <si>
    <t>Updated Tiebreakers - Summary tab</t>
  </si>
  <si>
    <t>No changes needed to 20A2</t>
  </si>
  <si>
    <t>Scoring - Green Building Standards Certification</t>
  </si>
  <si>
    <t>Initial updates to Cost Containment; need limits</t>
  </si>
  <si>
    <t>Green Building Standards</t>
  </si>
  <si>
    <t>2020 Enterprise Green Communities</t>
  </si>
  <si>
    <t xml:space="preserve">NGBS - Emerald Level </t>
  </si>
  <si>
    <t>Initial updates to Green Building Standard</t>
  </si>
  <si>
    <t>Scoring - Additional Accessible Units Certification</t>
  </si>
  <si>
    <t>Scoring - Net Zero Certification</t>
  </si>
  <si>
    <t>Enterprise Plus</t>
  </si>
  <si>
    <t>LEED Zero</t>
  </si>
  <si>
    <t>Scoring of market factors (discussed in detail in the Standards for Market Study Reviews and Professionals, available on the Website) reflect market conditions that are not conducive to the proposed Project.</t>
  </si>
  <si>
    <t>Scoring of market factors (discussed in detail in the Standards for Market Study Reviews and Professionals, available on the Website) reflect market conditions that benefit the proposed Project.</t>
  </si>
  <si>
    <t>NC</t>
  </si>
  <si>
    <t>Added full set of Green Building Standards to Underwriting side of tab 20B1</t>
  </si>
  <si>
    <t>Adjusted error checking in Green Building Standards Tab of 20B1</t>
  </si>
  <si>
    <t xml:space="preserve">Illinois-based general contractor AND Illinois-based property manager AND Illinois-based architect AND Illinois-based Sponsor
</t>
  </si>
  <si>
    <t xml:space="preserve">Illinois-based general contractor OR Illinois-based property manager OR Illinois-based architect OR Illinois-based Sponsor 
</t>
  </si>
  <si>
    <t>Changed grammar in Illinois-based participants tab (20D1)</t>
  </si>
  <si>
    <t>Tab 20C2c - Community Revitalization. Changed "SPAR Score" to "IHDA Score" for clarity</t>
  </si>
  <si>
    <t>20C3 (Affordability Risk Index) - changed formatting when you select "scattered site" so that it is clearer where you enter information for each parcel; if scattered site, form will automatically calculate pro-rata score</t>
  </si>
  <si>
    <t>Tab 20D1 - Illinois-based participants. Updated language in description to match QAP.</t>
  </si>
  <si>
    <t>The Qualified Non-Profit Corporation’s IRS determination letter</t>
  </si>
  <si>
    <t>Tab 20D3 Qualified Non-Profit description updated to match QAP language (though still includes reference to "Control" that is not directly in the QAP but is in the Control definition in the QAP) and to now require that sponsors indicate that they have submitted all necessary backup documents</t>
  </si>
  <si>
    <t>Tab 20E1 Rental Assistance/Deeper Income Targeting - changes to text description to match QAP language; no changes to formulas</t>
  </si>
  <si>
    <t>Projects with no Authority resource request except for Illinois Affordable Housing Tax Credits (IAHTC); IAHTC award does not exceed 1.5 million IAHTC.</t>
  </si>
  <si>
    <t>Tab 20E3a Leveraging - updated text description to match QAP and flipped order of selection options to match QAP and text order</t>
  </si>
  <si>
    <t>Tab 20F1 SRN - updated text description to match QAP</t>
  </si>
  <si>
    <t>Project will receive Project-Based Rental Assistance under the Section 811 Program, as evidenced by submission of the Section 811 Interest Form; the Sponsor verified that there were at least three (3) persons per one (1) unit on the Section 811 PAIR waitlist at time of Project Application.</t>
  </si>
  <si>
    <t>2) Section 811 Project-Based Rental Assistance</t>
  </si>
  <si>
    <t>Tab 20F2 - Section 811 - created tab and scoring</t>
  </si>
  <si>
    <t>Tab Summary and Scoring Checklist - added Section 811 to Summary tab and Scoring Checklist, with required document included</t>
  </si>
  <si>
    <t>Tab 20D2 MBE/WBE/BIPOC-led updated with new QAP language, new categories, new formulas to reflect scoring</t>
  </si>
  <si>
    <t>Hard cost no more than ninety percent (90%) of limits and equals seventy percent (70%) or more of total development cost.</t>
  </si>
  <si>
    <t>Hard cost no more than ninety percent (90%) of limits and equals sixty-five percent (65%) or more of total development cost.</t>
  </si>
  <si>
    <t>Food Access</t>
  </si>
  <si>
    <t>Health &amp; Wellness</t>
  </si>
  <si>
    <t>Education &amp; Culture</t>
  </si>
  <si>
    <t>Mobility</t>
  </si>
  <si>
    <t>Civic &amp; Community Facilities</t>
  </si>
  <si>
    <t>Retail</t>
  </si>
  <si>
    <t>Services</t>
  </si>
  <si>
    <t>Farmers market
Community garden that produces fresh food
Full-service grocery store
Other food store with produce
Restaurant, café, diner</t>
  </si>
  <si>
    <t>Eligible Neighborhood Scoring Assets</t>
  </si>
  <si>
    <t>Pharmacy
Hospital, medical clinic or office that treats patients
Community health center
Gym, health club and exercise studio open to the public
Public pool
Skating rink
Sport court/field
Public park
Access to public trail network/system – bike and/or pedestrian</t>
  </si>
  <si>
    <t>Public library
Place of worship
Educational facility (including K–12 school, university, adult education center, vocational school, community college)
Pre-K and Daycare for family Projects only
Cultural arts facility (e.g., museum, performing arts space, concert venue)</t>
  </si>
  <si>
    <t>Bike share/scooter docking station, accessible transit station or bus line, proximity to publicly available electric charging station</t>
  </si>
  <si>
    <t>Community or recreation center, potentially including performance space
Police or fire station
Post office
Senior center
Emergency shelter</t>
  </si>
  <si>
    <t>Clothing store or department store selling clothes
Hardware store</t>
  </si>
  <si>
    <t>Bank (with teller hours)
Hair care
Laundry, dry cleaner
Licensed adult or senior care
Licensed childcare
Social services center</t>
  </si>
  <si>
    <t>Scoring Amenity Distance in Miles by Set-Aside</t>
  </si>
  <si>
    <t>Set-Aside</t>
  </si>
  <si>
    <t>Proximity/Distance</t>
  </si>
  <si>
    <t>Chicago</t>
  </si>
  <si>
    <t>Non-Metro</t>
  </si>
  <si>
    <t>Tab 20C5 Neighborhood assets - began updating with new asset mix and text description from QAP. Have yet to adjust formulas. Unclear on how assets are handled for projects with multiple sites.</t>
  </si>
  <si>
    <t>I think we need a tab to better memorialize ties and tiebreakers, will draft</t>
  </si>
  <si>
    <t>Tab 20E3b Leveraging - text description updated to match QAP</t>
  </si>
  <si>
    <t>Section 811 Project-Based Rental Assistance</t>
  </si>
  <si>
    <t>Minor formatting change to 20F2</t>
  </si>
  <si>
    <t>Tiebreaker Criteria</t>
  </si>
  <si>
    <t>2) Net Zero Certification</t>
  </si>
  <si>
    <r>
      <t xml:space="preserve">2a) Opportunity Areas </t>
    </r>
    <r>
      <rPr>
        <b/>
        <i/>
        <u/>
        <sz val="12"/>
        <color theme="1"/>
        <rFont val="Arial Narrow"/>
        <family val="2"/>
      </rPr>
      <t>or</t>
    </r>
  </si>
  <si>
    <r>
      <t xml:space="preserve">2b) Quality of Life Index </t>
    </r>
    <r>
      <rPr>
        <b/>
        <i/>
        <u/>
        <sz val="12"/>
        <color theme="1"/>
        <rFont val="Arial Narrow"/>
        <family val="2"/>
      </rPr>
      <t>or</t>
    </r>
  </si>
  <si>
    <t>2) Minority- and Women-Owned Business Enterprises</t>
  </si>
  <si>
    <r>
      <t xml:space="preserve">a) Rental Assistance </t>
    </r>
    <r>
      <rPr>
        <b/>
        <i/>
        <u/>
        <sz val="12"/>
        <color theme="1"/>
        <rFont val="Arial Narrow"/>
        <family val="2"/>
      </rPr>
      <t>or</t>
    </r>
  </si>
  <si>
    <t>3) Leveraging</t>
  </si>
  <si>
    <t>Summary Page: 
- matching category text to order and text in the QAP
- Removed E2 (which was intentionally left blank)
- Made No Additional Authority Resources and Leveraging as separate categories</t>
  </si>
  <si>
    <t>2) Additional Accessible Units</t>
  </si>
  <si>
    <t>3) Unit Mix</t>
  </si>
  <si>
    <t>4) Cost Containment</t>
  </si>
  <si>
    <t>1) Statewide Referral Network (SRN) Units</t>
  </si>
  <si>
    <t>3) Affordable Housing Planning and Appeal Act (AHPAA) Projects</t>
  </si>
  <si>
    <t>3) Affordability Risk Index (ARI)</t>
  </si>
  <si>
    <t>1) Green Building Standards Certification</t>
  </si>
  <si>
    <t>Scoring - Affordability Risk Index (ARI) Certification</t>
  </si>
  <si>
    <t>Scoring - Minority- and Women-Owned Business Enterprises Certification</t>
  </si>
  <si>
    <t>Scoring - Non-Profit Organization Participation Certification</t>
  </si>
  <si>
    <t>Scoring - No Additional Authority Resource Requests Certification</t>
  </si>
  <si>
    <t>Scoring - Leveraging Certification</t>
  </si>
  <si>
    <t>Scoring - Statewide Referral Network (SRN) Units Certification</t>
  </si>
  <si>
    <t>Renumbered "No Additional Authority Resource Requests" and "Leveraging" tabs</t>
  </si>
  <si>
    <t>Scoring - Affordable Housing Planning and Appeal Act (AHPAA) Projects Certification</t>
  </si>
  <si>
    <t>Changed title of tab to match QAP for following tabs: B1, C2c, C3, D2, D3, E2, E3, F1, F3</t>
  </si>
  <si>
    <t>Tiebreakers tab: boxes that cannot be filled by applicant are changed to black rather than gray</t>
  </si>
  <si>
    <t xml:space="preserve">Addressing a pre-existing community need (up to 2 points) </t>
  </si>
  <si>
    <t>Racial Equity (up to 1 point)</t>
  </si>
  <si>
    <t>Tab C2c - minor changes to language to reflect minor changes to CR scoring criteria</t>
  </si>
  <si>
    <t>Connectivity:</t>
  </si>
  <si>
    <t>Education:</t>
  </si>
  <si>
    <t>Health:</t>
  </si>
  <si>
    <t>Housing:</t>
  </si>
  <si>
    <t>Prosperity:</t>
  </si>
  <si>
    <t>Overall Score:</t>
  </si>
  <si>
    <t>Created QLI sheet</t>
  </si>
  <si>
    <t>Underwriting Only</t>
  </si>
  <si>
    <t>Tiebreaker</t>
  </si>
  <si>
    <t xml:space="preserve">Below, mark the tiebreaker categories as applicable. Please ensure the deal with which the subject one is being compared is recorded. </t>
  </si>
  <si>
    <t>Comments</t>
  </si>
  <si>
    <t>Tied Deal PID:</t>
  </si>
  <si>
    <t>Tied Deal Project Name:</t>
  </si>
  <si>
    <t>Outcome:</t>
  </si>
  <si>
    <t>Adjusted Tiebreaker tab - should only be internal</t>
  </si>
  <si>
    <t>Finalized Instructions tab</t>
  </si>
  <si>
    <t>Linked QLI to Summary page</t>
  </si>
  <si>
    <t>Architectural Standards, Universal Design and Amenities Certification</t>
  </si>
  <si>
    <t>Cost Containment Certification (Tab 22A4)</t>
  </si>
  <si>
    <t>The following checklist is to be used as a guide for the scoring documentation required to evidence the criteria outlined in the QAP.</t>
  </si>
  <si>
    <t>Scoring - Market Characteristics Certification (Scored by IHDA, Tab 22C1)</t>
  </si>
  <si>
    <t>Opportunity Areas Certification (Tab 22C2a)</t>
  </si>
  <si>
    <t>Quality of Life Certification (Tab 22C2b)</t>
  </si>
  <si>
    <t>Community Revitalization Efforts Certification (Tab 22C2c)</t>
  </si>
  <si>
    <t>Affordability Risk Index Certification (Tab22C3)</t>
  </si>
  <si>
    <t>Transportation Certification (Tab 22C4)</t>
  </si>
  <si>
    <t>Neighborhood Assets Certification (Tab 22C5)</t>
  </si>
  <si>
    <t>Illinois Based Participant Certification (Tab 22D1)</t>
  </si>
  <si>
    <t>Minorities, Females and Persons with Disabilities Certification (Tab 22D2)</t>
  </si>
  <si>
    <t>Began checklist update (stopped at 22D2)</t>
  </si>
  <si>
    <t>≤0.5</t>
  </si>
  <si>
    <t>≤5</t>
  </si>
  <si>
    <t>Present for Majority of Sites</t>
  </si>
  <si>
    <t>Fraction of Sites Meeting Threshold</t>
  </si>
  <si>
    <t>AND Select item 5.5b Moving to Zero Carbon: All Electric in scoring criteria</t>
  </si>
  <si>
    <r>
      <t xml:space="preserve">(1) Illinois Department of Central Management Services- Business Enterprise Program for Minorities, Females and Persons with Disabilities; </t>
    </r>
    <r>
      <rPr>
        <b/>
        <sz val="12"/>
        <color theme="1"/>
        <rFont val="Arial Narrow"/>
        <family val="2"/>
      </rPr>
      <t xml:space="preserve">OR </t>
    </r>
  </si>
  <si>
    <t xml:space="preserve">(2) City of Chicago, City of St. Louis, Cook County, Chicago Transit Authority, Illinois Department of Transportation, METRA, PACE, Chicago Minority Supplier Development Council, Mid-States Minority Supplier Development Council or Women’s Business Development Center. </t>
  </si>
  <si>
    <t>BIPOC-led or BIPOC-governed Non-Profit Organization Sponsor that has at least a 51% stake in all aspects of development control including but not limited to ownership, cash-flow, and voting rights</t>
  </si>
  <si>
    <t>BIPOC-led or BIPOC-governed Non-Profit Organization Co-Sponsor that has at least a 49% stake in all aspects of development control including but not limited to ownership, cash-flow, and voting rights</t>
  </si>
  <si>
    <t>AND/OR</t>
  </si>
  <si>
    <t>-or-</t>
  </si>
  <si>
    <t>BIPOC-led For-Profit Co-Sponsor that has at least a 25% (but less than 49%) stake in all aspects of the development control including but not limited to ownership, cash-flow, and voting rights</t>
  </si>
  <si>
    <t>BIPOC-led or BIPOC-governed Non-Profit Organization Co-Sponsor that has at least a 25% (but less than 49%) stake in all aspects of the development control including but not limited to ownership, cash-flow, and voting rights</t>
  </si>
  <si>
    <t>Larger Units Certification (Tab 22A3)</t>
  </si>
  <si>
    <t>Green Building Standards Certification (Tab 22B1)</t>
  </si>
  <si>
    <t>Net Zero Certification (Tab 22B2)</t>
  </si>
  <si>
    <t>Scoring - Community Revitalization Strategies Certification</t>
  </si>
  <si>
    <t>Documentation of transit fixed route stop, such as route map with the Site(s) clearly delineated.</t>
  </si>
  <si>
    <t>Documentation verifying DRT service meets all QAP requirements. Acceptable forms of documentation include a screen capture/printed copy of the DRT service website or letter from the DRT service affirming the hours of operation, service area and population served.</t>
  </si>
  <si>
    <t>Map(s) clearly delineating all Sites and distance to the Neighborhood Asset</t>
  </si>
  <si>
    <t>The Qualified Non-Profit Corporation's IRS determination letter</t>
  </si>
  <si>
    <t>Rental Assistance or Deeper Income Targeting Certification (Tab 22E1)</t>
  </si>
  <si>
    <t>Path A</t>
  </si>
  <si>
    <t>Path B</t>
  </si>
  <si>
    <t>2) No Additional Authority Resource Requests</t>
  </si>
  <si>
    <t>No Additional Authority Resource Requests Certification (Tab 22E2)</t>
  </si>
  <si>
    <t>Leveraging Certification (Tab 22E3)</t>
  </si>
  <si>
    <t>Universal Design Certification (Tab 22A1)</t>
  </si>
  <si>
    <t>Additional Accessible Units Certification (Tab 22A2)</t>
  </si>
  <si>
    <t>Submission of documentation that evidences project financing for all leveraging resources, in line with the requirements laid out in the "Evidence of Project Financing" section of the Authority's Underwriting Standards Guide</t>
  </si>
  <si>
    <t>Statewide Referral Network (SRN) Units Certification (Tab 22F1)</t>
  </si>
  <si>
    <t>Scoring - Section 811 Project-Based Rental Assistance Certification</t>
  </si>
  <si>
    <t>Section 811 Project-Based Rental Assistance Certification (Tab 22F2)</t>
  </si>
  <si>
    <t>Section 811 Interest Form</t>
  </si>
  <si>
    <t>Scoring - Quality of Life Index Certification</t>
  </si>
  <si>
    <t>Affordable Housing Planning and Appeal Act (AHPAA) Projects Certification (Tab 22F3)</t>
  </si>
  <si>
    <t>A draft of the Statewide Referral Network Agreement</t>
  </si>
  <si>
    <t>The Secretary of State's Certificate of Good Standing for each Participant, certifying that the business was incorporated under the laws of Illinois a minimum of two (2) years prior to the application deadline</t>
  </si>
  <si>
    <t>2022 LIHTC Round</t>
  </si>
  <si>
    <t>2023 LIHTC Round</t>
  </si>
  <si>
    <t>5) Projects with the lowest per-unit construction costs.</t>
  </si>
  <si>
    <t>Indicate the net zero certification option by selecting 'X' from the drop down menus in the highlighted cells below.</t>
  </si>
  <si>
    <t>Third-Party Site and Market Study</t>
  </si>
  <si>
    <t>IHDA Site and Market Study Summary Form</t>
  </si>
  <si>
    <t>Project includes multiple Census tracts:</t>
  </si>
  <si>
    <t xml:space="preserve">Enter the point value for each category below for the Project's Census tract, based on the points indicated by the Quality of Life Index Map Tool on IHDA's Website. </t>
  </si>
  <si>
    <t>All SRN Units Receiving Rental Assistance</t>
  </si>
  <si>
    <t xml:space="preserve">Between </t>
  </si>
  <si>
    <t>SRN Units as Percentage of Total Project Units</t>
  </si>
  <si>
    <t>(Mandatory SRN Units)</t>
  </si>
  <si>
    <t>22A1 Universal Design</t>
  </si>
  <si>
    <t>22C1 Market Characteristics</t>
  </si>
  <si>
    <t>22C2a Opportunity Areas</t>
  </si>
  <si>
    <t>22C3 Affordability Risk Index</t>
  </si>
  <si>
    <t>22C4 Transportation</t>
  </si>
  <si>
    <t>22C5 Neighborhood Assets</t>
  </si>
  <si>
    <t>22D1 Illinois Based Participants</t>
  </si>
  <si>
    <t>22E1a Rental Assistance</t>
  </si>
  <si>
    <t>22E1b Deeper Income Targeting</t>
  </si>
  <si>
    <t>22A2 Additional Accessible Units</t>
  </si>
  <si>
    <t>22A3 Unit Mix</t>
  </si>
  <si>
    <t>22B1 Green Building Standards Certification</t>
  </si>
  <si>
    <t>22B2 Net Zero Certification</t>
  </si>
  <si>
    <t>22C2b Quality of Life Index</t>
  </si>
  <si>
    <t>22C2c Community Revitalization Strategies</t>
  </si>
  <si>
    <t>22D2 Minority- and Women-Owned Business Enterprises</t>
  </si>
  <si>
    <t>22E2 No Additional Authority Resource Requests</t>
  </si>
  <si>
    <t>22E3 Leveraging</t>
  </si>
  <si>
    <t>22F1 Statewide Referral Network (SRN) Units</t>
  </si>
  <si>
    <t>22F2 Section 811 Project-Based Rental Assistance</t>
  </si>
  <si>
    <t>22F3 Affordable Housing Planning and Appeal Act (AHPAA) Projects</t>
  </si>
  <si>
    <t>Individual Scoring Certifications (Tabs 22A1 through 22F3)</t>
  </si>
  <si>
    <t>General liability, auto, and workers’ compensation insurance certificates</t>
  </si>
  <si>
    <t>• Maximum income limits as a percent of AMI; and</t>
  </si>
  <si>
    <t>• Total number of units assisted by unit type; and</t>
  </si>
  <si>
    <t>• Length of the rental assistance contract; and</t>
  </si>
  <si>
    <t>• Contract rent by unit type paid through the rental assistance. The contract rent is the maximum amount of rent paid to the Project by the rental assistance.</t>
  </si>
  <si>
    <t>For existing contracts, Projects must submit a copy of the fully executed rental assistance contract from the entity providing the rental assistance that includes:</t>
  </si>
  <si>
    <t>For new commitments of rental assistance, the Projects must include an executed rental assistance commitment letter from a Public Housing Authority (PHA) using Project Based Vouchers (PBV). This letter must also provide documentation that:</t>
  </si>
  <si>
    <t>• The PHA Administrative Plan allows for the PHA to administer a PBV Program; and</t>
  </si>
  <si>
    <t>• The PHA has selected the property to receive PBVs is in accordance with the PHA Administrative Plan and 24 C.F.R. § 983.51.</t>
  </si>
  <si>
    <t>Projects may earn points for either existing unit-based (rather than tenant-based) federal rental assistance or new commitments of unit-based federal rental assistance. To be eligible for points, the term of the rental assistance contract must have at least ten (10) years remaining, and new commitments must have a minimum term of 10 years. All underwriting assumptions regarding the funding and renewal of rental assistance contracts must be clearly identified. Rental assistance commitments cannot be conditioned on an Allocation of Tax Credits.</t>
  </si>
  <si>
    <t xml:space="preserve">• A draft Statewide Referral Network Agreement, available on the Website, to evidence the percentage of SRN units committed, as well as whether those units will be covered by rental assistance. </t>
  </si>
  <si>
    <t>Projects seeking points in this category should carefully review the definition of Statewide Referral Network Units and understand the requirements and implications. Projects are strongly encouraged to develop relationships with social service providers.</t>
  </si>
  <si>
    <t>Program Eligibility</t>
  </si>
  <si>
    <t>Interest Certification</t>
  </si>
  <si>
    <t>Additional Required Information</t>
  </si>
  <si>
    <t>Intended Service Providers</t>
  </si>
  <si>
    <t>Characters remaining:</t>
  </si>
  <si>
    <t>New Construction or Adaptive Reuse</t>
  </si>
  <si>
    <t>List anticipated on- or off-site service providers, as well as services that will be provided by each:</t>
  </si>
  <si>
    <t>Development Details</t>
  </si>
  <si>
    <t xml:space="preserve">Development Type: </t>
  </si>
  <si>
    <t>The Project Sponsor certifies interest in the inclusion of Section 811 Project-Based Rental Assistance in the above-mentioned development.</t>
  </si>
  <si>
    <t>Sponsor completed Section 811 Interest Form:</t>
  </si>
  <si>
    <t>In the event that the costs increase any time between Reservation and IRS Form 8609, such that the Project would not have been eligible for cost containment points in the same amount as proposed in the Project Application, such change will be considered in the review of future Project Applications and could negatively impact future Project Applications to the Authority.</t>
  </si>
  <si>
    <r>
      <t xml:space="preserve">Fill out the total units by type, hard construction costs (lines 18-20 of the G_Uses tab in the IHDA common application), and total development costs (exclusive of land costs) to determine cost containment points. </t>
    </r>
    <r>
      <rPr>
        <b/>
        <sz val="12"/>
        <color theme="1"/>
        <rFont val="Arial Narrow"/>
        <family val="2"/>
      </rPr>
      <t>Information should match that provided in the IHDA Common Application.</t>
    </r>
  </si>
  <si>
    <t>Projects whose architectural design and construction meet or exceed energy efficiency and green criteria can achieve up to ten (10) points in the Project Application by certifying to one of the following certification standards.</t>
  </si>
  <si>
    <t>Additional Accessible Units</t>
  </si>
  <si>
    <t>Universal Design</t>
  </si>
  <si>
    <t>Net Zero</t>
  </si>
  <si>
    <t>Projects can receive three (3) points if they pursue one of the following third-party net zero energy paths. Criteria and certification process for each of these third-party Net Zero Certifications can be accessed via the respective third-party websites for each standard.</t>
  </si>
  <si>
    <t>To ensure you receive scoring consideration, be sure to submit the following documents as part of your Site and Market Study Mandatory application:</t>
  </si>
  <si>
    <t>Documentation that the Site and Market Study firm is a member of NCHMA</t>
  </si>
  <si>
    <t>Projects located in a census tract(s) meeting the criteria listed below for Affordability Risk Index Certification can earn up to five (5) points. A list of the census tracts, their relative rates of change and their Affordability Risk Index score and supporting data can be found in the Affordability Risk Index Data. 
Projects that are scattered site with at least one (1) site in a scoring census tract will receive a prorated score based on the proportion of total units located in a scoring census tract. Fractional scores will be rounded up to the next whole number.</t>
  </si>
  <si>
    <t>Indicate below if the Project includes multiple Census tracts; if applicable, enter the relevant information for each tract. For those Projects that include multiple Census tracts, the total Project score will be calculated as an average of the Overall Scores for all Project tracts.</t>
  </si>
  <si>
    <t>The Secretary of State's Certificate of Good Standing for each Participant, certifying that the business was incorporated under the laws of Illinois a minimum of two (2) years prior to the application submission deadline.</t>
  </si>
  <si>
    <t>Proof of registration with eligible third-party green-building certification of Sponsor's choice</t>
  </si>
  <si>
    <t>BIPOC-led For-Profit Sponsor that has at least a 51% stake in all aspects of development control including but not limited to ownership, cash-flow, and voting rights</t>
  </si>
  <si>
    <t>BIPOC-led For-Profit Co-Sponsor that has at least a 49% stake in all aspects of development control including but not limited to ownership, cash-flow, and voting rights</t>
  </si>
  <si>
    <t>MBE, WBE, or DBE General Contractor</t>
  </si>
  <si>
    <t>MBE, WBE, or DBE Architect</t>
  </si>
  <si>
    <t>MBE, WBE, or DBE Property Manager</t>
  </si>
  <si>
    <t>Total Development Cost:</t>
  </si>
  <si>
    <t>Mandatory SRN Requirements by Set-Aside</t>
  </si>
  <si>
    <t>SRN Units as % of Total Units</t>
  </si>
  <si>
    <t>10% of Total Units (at 30% AMI)</t>
  </si>
  <si>
    <t>5% of Total Units (at 30% AMI)</t>
  </si>
  <si>
    <t>Not All (&lt;100%) SRN Units Will Receive Federal- or State-Funded Rental Assistance</t>
  </si>
  <si>
    <t xml:space="preserve">All (100%) SRN Units Will Receive Federal- or State-Funded Rental Assistance </t>
  </si>
  <si>
    <t>A municipality or county which individually has less than 10% of its total housing stock deemed as affordable, as is determined by a statutory formula administered by the Authority, is subject to AHPAA. Such localities are considered “non-exempt local governments’’ (“NELGs”) and are posted on the Website. To encourage development of affordable housing in these communities, a Project located within a NELG’s jurisdiction will be awarded two (2) points.</t>
  </si>
  <si>
    <t>PHIUS ZERO</t>
  </si>
  <si>
    <t>ILFI Zero Energy</t>
  </si>
  <si>
    <t>ILFI Zero Carbon</t>
  </si>
  <si>
    <t>PHIUS CORE</t>
  </si>
  <si>
    <t>ILFI Core Green Building</t>
  </si>
  <si>
    <t>ILFI Living Building Challenge 4.0</t>
  </si>
  <si>
    <t>LEED 4.1 BD+C - Gold</t>
  </si>
  <si>
    <t>LEED 4.1 BD+C - Platinum</t>
  </si>
  <si>
    <t xml:space="preserve">The details surrounding criteria and certification process for each of these third-party green building standards can be accessed via the respective third-party websites for each certification standard. </t>
  </si>
  <si>
    <t>* For scoring consideration, be sure to submit the documentation as noted in Tab 22C1 of this workbook (if applicable).</t>
  </si>
  <si>
    <t>Applications must be clear, unambiguous, and complete. Information contained elsewhere within the Application or available to the Authority that contradicts or negates information contained within this certification may preclude a Project from scoring points or cause the Application to fail.</t>
  </si>
  <si>
    <t>Mandatory SRN unit requirements for Projects pursuing 9% Tax Credits are as follows:</t>
  </si>
  <si>
    <t>Scoring - Extended Use Agreement Restrictions</t>
  </si>
  <si>
    <t>Section IX.A.i - Universal Design</t>
  </si>
  <si>
    <t>Section IX.A.ii - Additional Accessible Units</t>
  </si>
  <si>
    <t>Project includes an additional five percent (5%) of units that meet Type A accessibility standards, for a total of fifteen percent (15%) of Project units.</t>
  </si>
  <si>
    <t>Section IX.A.iii - Unit Mix</t>
  </si>
  <si>
    <t>Section IX.A.iii - Cost Containment</t>
  </si>
  <si>
    <t>Hard cost no more than ninety percent (90%) of Grand Total Hard Cost limits and equals seventy percent (70%) or more of total development cost.</t>
  </si>
  <si>
    <t>Hard cost no more than ninety percent (90%) of Grand Total Hard Cost limits and equals seventy percent (65%) or more of total development cost.</t>
  </si>
  <si>
    <t>Section IX.B.i - Green Building Standards</t>
  </si>
  <si>
    <t>Section IX.B.ii - Net Zero</t>
  </si>
  <si>
    <t>Section IX.C.i - Market Characteristics</t>
  </si>
  <si>
    <t>Section IX.C.ii.a - Opportunity Area</t>
  </si>
  <si>
    <t>Section IX.C.ii.b Quality of Life Index</t>
  </si>
  <si>
    <t>Total Project Score:</t>
  </si>
  <si>
    <t>Section IX.C.ii.c - Community Revitalization Strategies</t>
  </si>
  <si>
    <t>Section IX.C.iii - Affordability Risk Index (ARI)</t>
  </si>
  <si>
    <t>Section IX.C.iv - Transportation</t>
  </si>
  <si>
    <t>Transit Oriented Development ("TOD")
All Sites are located within a completed, in-process, or programmed RTA- Transit Oriented Development site (“TOD”). 
-or-
For Sites that are located outside of the RTA – Transit Oriented Development Program of Northeastern Illinois, a local Transit Oriented Development plan which clearly includes additional housing as an initiative of the plan and is located within ½ mile of a major transportation hub may be submitted.</t>
  </si>
  <si>
    <t>Mass Transit or Demand Responsive Transit (“DRT”)
All Sites are located within 0.25 miles of a fixed route transit stop defined as buses and trains serving local destinations beginning no later than 8am and ending no earlier than 6pm, Monday through Friday;
-or-
All Sites are served by a DRT service Monday through Friday. DRT must be available to the public at large; that is, it may not be restricted to service for the elderly or disabled.</t>
  </si>
  <si>
    <t xml:space="preserve">Travel Time to Work
Site(s) is located within a census tract that exhibits less than or equal to
average commute time to work. </t>
  </si>
  <si>
    <t>Section IX.C.v - Neighborhood Assets</t>
  </si>
  <si>
    <t>Section IX.D.i - Illinois Based Participants</t>
  </si>
  <si>
    <t>Section IX.D.iii - Non-Profit Organization Participation</t>
  </si>
  <si>
    <t>Section IX.D.ii - Minority- and Women-Owned Business Enterprises</t>
  </si>
  <si>
    <r>
      <t xml:space="preserve">Illinois-based General Contractor </t>
    </r>
    <r>
      <rPr>
        <b/>
        <sz val="12"/>
        <color theme="1"/>
        <rFont val="Arial Narrow"/>
        <family val="2"/>
      </rPr>
      <t>OR</t>
    </r>
    <r>
      <rPr>
        <sz val="12"/>
        <color theme="1"/>
        <rFont val="Arial Narrow"/>
        <family val="2"/>
      </rPr>
      <t xml:space="preserve"> Illinois-based Property Manager </t>
    </r>
    <r>
      <rPr>
        <b/>
        <sz val="12"/>
        <color theme="1"/>
        <rFont val="Arial Narrow"/>
        <family val="2"/>
      </rPr>
      <t>OR</t>
    </r>
    <r>
      <rPr>
        <sz val="12"/>
        <color theme="1"/>
        <rFont val="Arial Narrow"/>
        <family val="2"/>
      </rPr>
      <t xml:space="preserve"> Illinois-based Architect </t>
    </r>
    <r>
      <rPr>
        <b/>
        <sz val="12"/>
        <color theme="1"/>
        <rFont val="Arial Narrow"/>
        <family val="2"/>
      </rPr>
      <t>OR</t>
    </r>
    <r>
      <rPr>
        <sz val="12"/>
        <color theme="1"/>
        <rFont val="Arial Narrow"/>
        <family val="2"/>
      </rPr>
      <t xml:space="preserve"> Illinois-based Sponsor 
</t>
    </r>
  </si>
  <si>
    <r>
      <t xml:space="preserve">Illinois-based General Contractor </t>
    </r>
    <r>
      <rPr>
        <b/>
        <sz val="12"/>
        <color theme="1"/>
        <rFont val="Arial Narrow"/>
        <family val="2"/>
      </rPr>
      <t>AND</t>
    </r>
    <r>
      <rPr>
        <sz val="12"/>
        <color theme="1"/>
        <rFont val="Arial Narrow"/>
        <family val="2"/>
      </rPr>
      <t xml:space="preserve"> Illinois-based Property Manager </t>
    </r>
    <r>
      <rPr>
        <b/>
        <sz val="12"/>
        <color theme="1"/>
        <rFont val="Arial Narrow"/>
        <family val="2"/>
      </rPr>
      <t>AND</t>
    </r>
    <r>
      <rPr>
        <sz val="12"/>
        <color theme="1"/>
        <rFont val="Arial Narrow"/>
        <family val="2"/>
      </rPr>
      <t xml:space="preserve"> Illinois-based Architect </t>
    </r>
    <r>
      <rPr>
        <b/>
        <sz val="12"/>
        <color theme="1"/>
        <rFont val="Arial Narrow"/>
        <family val="2"/>
      </rPr>
      <t>AND</t>
    </r>
    <r>
      <rPr>
        <sz val="12"/>
        <color theme="1"/>
        <rFont val="Arial Narrow"/>
        <family val="2"/>
      </rPr>
      <t xml:space="preserve"> Illinois-based Sponsor 
</t>
    </r>
  </si>
  <si>
    <t>Section IX.E.i - Rental Assistance or Deeper Income Targeting</t>
  </si>
  <si>
    <t>Section IX.E.ii - No Additional Authority Resource Requests</t>
  </si>
  <si>
    <t>Section IX.E.iii - Leveraging</t>
  </si>
  <si>
    <t>Section IX.F.i - Statewide Referral Network Units</t>
  </si>
  <si>
    <t>Section IX.F.ii - Section 811 Project-Based Rental Assistance</t>
  </si>
  <si>
    <t xml:space="preserve"> Affordable Housing Planning and Appeal Act (AHPAA) Projects</t>
  </si>
  <si>
    <r>
      <rPr>
        <u/>
        <sz val="12"/>
        <color theme="1"/>
        <rFont val="Arial Narrow"/>
        <family val="2"/>
      </rPr>
      <t>TOD Points (If Applicable):</t>
    </r>
    <r>
      <rPr>
        <sz val="12"/>
        <color theme="1"/>
        <rFont val="Arial Narrow"/>
        <family val="2"/>
      </rPr>
      <t xml:space="preserve">
• If the Site is located inside the RTA planning area: documentation from the RTA TOD website that shows the location of the Site within the TOD study area, the specific name of the TOD, and an electronic copy of the TOD Plan. 
• If the Site is located outside the RTA area: a TOD Plan with site location clearly delineated within the boundaries of the plan and reference to additional housing as an initiative of the plan clearly highlighted or marked.
• </t>
    </r>
    <r>
      <rPr>
        <sz val="12"/>
        <rFont val="Arial Narrow"/>
        <family val="2"/>
      </rPr>
      <t>Documentation of transit fixed-route stop, such as route map</t>
    </r>
    <r>
      <rPr>
        <sz val="12"/>
        <color rgb="FFFF0000"/>
        <rFont val="Arial Narrow"/>
        <family val="2"/>
      </rPr>
      <t xml:space="preserve"> </t>
    </r>
    <r>
      <rPr>
        <sz val="12"/>
        <rFont val="Arial Narrow"/>
        <family val="2"/>
      </rPr>
      <t>with the Site(s) clearly delineated.</t>
    </r>
    <r>
      <rPr>
        <sz val="12"/>
        <color theme="1"/>
        <rFont val="Arial Narrow"/>
        <family val="2"/>
      </rPr>
      <t xml:space="preserve">
</t>
    </r>
    <r>
      <rPr>
        <b/>
        <sz val="12"/>
        <color theme="1"/>
        <rFont val="Arial Narrow"/>
        <family val="2"/>
      </rPr>
      <t>OR</t>
    </r>
    <r>
      <rPr>
        <sz val="12"/>
        <color theme="1"/>
        <rFont val="Arial Narrow"/>
        <family val="2"/>
      </rPr>
      <t xml:space="preserve">
</t>
    </r>
    <r>
      <rPr>
        <u/>
        <sz val="12"/>
        <color theme="1"/>
        <rFont val="Arial Narrow"/>
        <family val="2"/>
      </rPr>
      <t xml:space="preserve">DRT Points (If Applicable):
</t>
    </r>
    <r>
      <rPr>
        <sz val="12"/>
        <color theme="1"/>
        <rFont val="Arial Narrow"/>
        <family val="2"/>
      </rPr>
      <t>• Documentation verifying DRT service meets all QAP requirements. Acceptable forms of documentation include a screen capture/printed copy of the DRT service website or letter from the DRT service affirming the hours of operation, service area and population served.</t>
    </r>
  </si>
  <si>
    <t>Submission of the above documentation for all Project Sites (if Scattered Site)</t>
  </si>
  <si>
    <t>1) Green Building Standards</t>
  </si>
  <si>
    <t>2) Net Zero</t>
  </si>
  <si>
    <t xml:space="preserve">Total Project Units: </t>
  </si>
  <si>
    <t>Copies of general liability, auto, and workers' compensation insurance certificates</t>
  </si>
  <si>
    <t>Documentation that Site and Market Study firm is a member of the National Council of Housing Market Analysts (NCHMA)</t>
  </si>
  <si>
    <r>
      <rPr>
        <u/>
        <sz val="12"/>
        <color theme="1"/>
        <rFont val="Arial Narrow"/>
        <family val="2"/>
      </rPr>
      <t>Proximity to Jobs (If Applicable):</t>
    </r>
    <r>
      <rPr>
        <sz val="12"/>
        <color theme="1"/>
        <rFont val="Arial Narrow"/>
        <family val="2"/>
      </rPr>
      <t xml:space="preserve">  Documentation of job access produced via the US Census Bureau "On the Map" tool</t>
    </r>
  </si>
  <si>
    <r>
      <t xml:space="preserve">Indicate the transportation threshold the Project will meet by selecting 'X' from the drop down menus in the highlighted cells below to determine the Project's transportation threshold.
</t>
    </r>
    <r>
      <rPr>
        <b/>
        <sz val="12"/>
        <color theme="1"/>
        <rFont val="Arial Narrow"/>
        <family val="2"/>
      </rPr>
      <t>Scattered Site Projects must submit documentation for all Sites. The majority of Sites must meet these requirements for a particular category in order to score Transportation points for that category.</t>
    </r>
  </si>
  <si>
    <t>Mandatory 30% AMI SRN Units</t>
  </si>
  <si>
    <t>Minority- and Women-Owned Business Enterprises</t>
  </si>
  <si>
    <t>Indicate the Affordability Risk Index score for all scoring project census tract(s). The maximum score is five (5) points.</t>
  </si>
  <si>
    <t>2c) Community Revitalization Strategies</t>
  </si>
  <si>
    <t>Projects can earn up to two (2) points based on the Project unit mix. Indicate the number of units by bedroom type and population below to determine the Project's Unit Mix threshold. For Projects serving both Elderly and non-Elderly populations, points are not cumulative and are limited to the lowest score by population.</t>
  </si>
  <si>
    <t>A Project can earn three (3) points for containment of costs. Points will be awarded to Projects with costs below the Grand Total Hard Cost limits as set forth in the Underwriting Standards Guide document found on the Website.</t>
  </si>
  <si>
    <t>Projects can earn or lose up to three (3) points for market characteristics according to the criteria laid out in the QAP. The default self-score for this category is 0 points. IHDA will evaluate the market characteristics to determine the project's score.</t>
  </si>
  <si>
    <t>Pro-Rata Affordability Risk Index Score (Scattered Site):</t>
  </si>
  <si>
    <t>Project is Scattered Site:</t>
  </si>
  <si>
    <r>
      <rPr>
        <b/>
        <sz val="12"/>
        <color theme="1"/>
        <rFont val="Arial Narrow"/>
        <family val="2"/>
      </rPr>
      <t>BIPOC-led For-Profit Sponsor</t>
    </r>
    <r>
      <rPr>
        <sz val="12"/>
        <color theme="1"/>
        <rFont val="Arial Narrow"/>
        <family val="2"/>
      </rPr>
      <t xml:space="preserve"> that has at least a 51% stake in all aspects of development control including but not limited to ownership, cash-flow, and voting rights</t>
    </r>
  </si>
  <si>
    <r>
      <rPr>
        <b/>
        <sz val="12"/>
        <color theme="1"/>
        <rFont val="Arial Narrow"/>
        <family val="2"/>
      </rPr>
      <t>BIPOC-led or BIPOC-governed Non-Profit Organization Sponsor</t>
    </r>
    <r>
      <rPr>
        <sz val="12"/>
        <color theme="1"/>
        <rFont val="Arial Narrow"/>
        <family val="2"/>
      </rPr>
      <t xml:space="preserve"> that has at least a 51% stake in all aspects of development control including but not limited to ownership, cash-flow, and voting rights</t>
    </r>
  </si>
  <si>
    <t>MBE-, WBE-, or DBE-certified (for-profit) General Contractor</t>
  </si>
  <si>
    <t>MBE-, WBE-, or DBE-certified (for-profit) Architect</t>
  </si>
  <si>
    <t>MBE-, WBE-, or DBE-certified (for-profit) Property Manager</t>
  </si>
  <si>
    <t>Projects with unit-based (rather than tenant-based) federal rental assistance that ensure tenants pay no more than thirty (30%) of their income towards combined rent and utility expenses may be eligible for points in this category. Projects that are unable to obtain federal rental assistance contracts may instead score points for deeper income and rent targeting achieved by other sources, so long as the Authority is satisfied that the Sponsor has demonstrated the project’s ability to sustain these commitments over a minimum period of ten (10) years.</t>
  </si>
  <si>
    <t>All SRN Units Receiving Rental Assistance?:</t>
  </si>
  <si>
    <t>SRN as % of Total Units:</t>
  </si>
  <si>
    <t>Total SRN Units:</t>
  </si>
  <si>
    <t>Projects may include additional Statewide Referral Network Units in the unit mix for up to ten (10) points if, as of the application deadline, there are at least three (3) persons per one (1) unit according to the Statewide Referral Network Demand List within the Project’s municipality or community area in Chicago. The most updated Demand List can be found on the Website.</t>
  </si>
  <si>
    <t>Illinois Housing Development Authority LIHTC Scoring Workbook</t>
  </si>
  <si>
    <r>
      <t xml:space="preserve">The </t>
    </r>
    <r>
      <rPr>
        <b/>
        <i/>
        <sz val="11"/>
        <rFont val="Arial Narrow"/>
        <family val="2"/>
      </rPr>
      <t>current</t>
    </r>
    <r>
      <rPr>
        <sz val="11"/>
        <rFont val="Arial Narrow"/>
        <family val="2"/>
      </rPr>
      <t xml:space="preserve"> version of this LIHTC Scoring Workbook (the "Scoring Workbook") is to be used when applying for an Allocation of 9% Low-Income Housing Tax Credits under the 2022-2023 Qualified Allocation Plan (the "QAP") and consists of a single Microsoft Excel file. </t>
    </r>
    <r>
      <rPr>
        <b/>
        <i/>
        <sz val="11"/>
        <rFont val="Arial Narrow"/>
        <family val="2"/>
      </rPr>
      <t xml:space="preserve">Only the current version will be accepted. </t>
    </r>
  </si>
  <si>
    <t>A completed LIHTC Scoring Workbook along with all required documentation and exhibits, as specified in the QAP and in the Scoring Workbook, comprise a complete LIHTC Scoring submission (the "Scoring").</t>
  </si>
  <si>
    <t>Scoring Workbook Contents:</t>
  </si>
  <si>
    <t>The Scoring Workbook consists of the following worksheets separated into Applicant and Underwriting sections:</t>
  </si>
  <si>
    <t>Completing the Worksheets:</t>
  </si>
  <si>
    <t>Changed date in Instructions tab</t>
  </si>
  <si>
    <t>In Scoring Checklist, added N/A options for three items in the Transportation category; amended formula in Summary tab to reflect new structure</t>
  </si>
  <si>
    <t>In Scoring Checklist, adjusted Rental Assistance under SRN category to make dropdown that includes N/A option; now required to be checked in order to receive credit for category</t>
  </si>
  <si>
    <t>F) Housing Policy and Objectives</t>
  </si>
  <si>
    <t>B) Energy Efficiency and Sustainability</t>
  </si>
  <si>
    <r>
      <rPr>
        <u/>
        <sz val="12"/>
        <color theme="1"/>
        <rFont val="Arial Narrow"/>
        <family val="2"/>
      </rPr>
      <t>Rental Assistance (Not Applicable if Scoring for Deeper Income Targeting):</t>
    </r>
    <r>
      <rPr>
        <i/>
        <sz val="12"/>
        <color theme="1"/>
        <rFont val="Arial Narrow"/>
        <family val="2"/>
      </rPr>
      <t xml:space="preserve">
Existing Rental Assistance Contracts:</t>
    </r>
    <r>
      <rPr>
        <sz val="12"/>
        <color theme="1"/>
        <rFont val="Arial Narrow"/>
        <family val="2"/>
      </rPr>
      <t xml:space="preserve"> 
Projects must submit a copy of the fully executed rental assistance contract from the entity providing the rental assistance that includes:
• maximum income limits as a percent of AMI; and
• total number of units assisted by unit type; and
• length of the rental assistance contract; and
• contract rent by unit type paid through the rental assistance. The contract rent is the maximum
amount of rent paid to the Project by the rental assistance.
</t>
    </r>
    <r>
      <rPr>
        <i/>
        <sz val="12"/>
        <color theme="1"/>
        <rFont val="Arial Narrow"/>
        <family val="2"/>
      </rPr>
      <t>New Commitments of Rental Assistance:</t>
    </r>
    <r>
      <rPr>
        <sz val="12"/>
        <color theme="1"/>
        <rFont val="Arial Narrow"/>
        <family val="2"/>
      </rPr>
      <t xml:space="preserve">
Executed rental assistance commitment letter from a Public Housing Authority (PHA) using Project Based Vouchers (PBV). This letter must also provide documentation that:
• The PHA Administrative Plan allows for the PHA to administer a PBV Program
• The PHA has selected the property to receive PBVs is in accordance with the PHA Administrative Plan and 24 C.F.R. § 983.51.
An existing contract must have at least ten (10) years remaining, and new commitments must have a minimum term of ten (10) years. All underwriting assumptions regarding the funding/renewal of a contract must be identified. New commitments cannot be conditioned on an Allocation of Tax Credits.</t>
    </r>
  </si>
  <si>
    <t>221E1 (Rental Assistance and Deeper Income Targeting) - fixed formula to show error and prevent scoring points if try to score for both options</t>
  </si>
  <si>
    <t>In Summary tab, adjusted formulas to show error if try to score points for both</t>
  </si>
  <si>
    <t>In Scoring Checklist, adjusted Rental Assistance under Rental Assistance and Deeper Income Targeting to require a NA value for Rental Assistance</t>
  </si>
  <si>
    <t>Add'l 30% AMI Units Above Mandatory Requirement</t>
  </si>
  <si>
    <t>Additional 30% AMI Units Above Mandatory Requirement, as Percentage of Total Units</t>
  </si>
  <si>
    <t>221E2 (Rental Assistance and Deeper Income Targeting) - fixed language in Deeper Income Targeting for additional clarity</t>
  </si>
  <si>
    <t>Add'l 30% AMI Units Above Mandatory, as % of Total Units</t>
  </si>
  <si>
    <r>
      <rPr>
        <b/>
        <sz val="12"/>
        <color theme="1"/>
        <rFont val="Arial Narrow"/>
        <family val="2"/>
      </rPr>
      <t>For-profit Sponsors</t>
    </r>
    <r>
      <rPr>
        <sz val="12"/>
        <color theme="1"/>
        <rFont val="Arial Narrow"/>
        <family val="2"/>
      </rPr>
      <t xml:space="preserve"> can receive points if certified as a Minority-Owned Business Enterprise (MBE), per the scoring matrix provided below. </t>
    </r>
    <r>
      <rPr>
        <b/>
        <sz val="12"/>
        <color theme="1"/>
        <rFont val="Arial Narrow"/>
        <family val="2"/>
      </rPr>
      <t>For-profit General Contractors</t>
    </r>
    <r>
      <rPr>
        <sz val="12"/>
        <color theme="1"/>
        <rFont val="Arial Narrow"/>
        <family val="2"/>
      </rPr>
      <t xml:space="preserve">, </t>
    </r>
    <r>
      <rPr>
        <b/>
        <sz val="12"/>
        <color theme="1"/>
        <rFont val="Arial Narrow"/>
        <family val="2"/>
      </rPr>
      <t>Architects</t>
    </r>
    <r>
      <rPr>
        <sz val="12"/>
        <color theme="1"/>
        <rFont val="Arial Narrow"/>
        <family val="2"/>
      </rPr>
      <t xml:space="preserve">, or </t>
    </r>
    <r>
      <rPr>
        <b/>
        <sz val="12"/>
        <color theme="1"/>
        <rFont val="Arial Narrow"/>
        <family val="2"/>
      </rPr>
      <t>Property Managers</t>
    </r>
    <r>
      <rPr>
        <sz val="12"/>
        <color theme="1"/>
        <rFont val="Arial Narrow"/>
        <family val="2"/>
      </rPr>
      <t xml:space="preserve"> can receive points if certified as a Minority-Owned Business Enterprise (MBE), Women-Owned Business Enterprise (WBE), or Disadvantaged Business Enterprise (DBE), per the scoring matrix provided below. To receive points, for each relevant for-profit firm the Project Application must include documentation of MBE, WBE, or DBE certification from one of the following entities:</t>
    </r>
  </si>
  <si>
    <t>Option A</t>
  </si>
  <si>
    <t>Option B</t>
  </si>
  <si>
    <t>Projects whose development team Participants include minority-owned, women-owned, or Black, Indigenous, and People of Color ("BIPOC")-led/governed entities are eligible to earn a maximum of ten (10) points in this category. Sponsors, General Contractors, Architects, and Property Managers that meet the criteria described below -- and provide applicable documentation -- can earn a Project points.</t>
  </si>
  <si>
    <r>
      <rPr>
        <b/>
        <sz val="12"/>
        <color theme="1"/>
        <rFont val="Arial Narrow"/>
        <family val="2"/>
      </rPr>
      <t xml:space="preserve">BIPOC-led For-Profit Co-Sponsor </t>
    </r>
    <r>
      <rPr>
        <sz val="12"/>
        <color theme="1"/>
        <rFont val="Arial Narrow"/>
        <family val="2"/>
      </rPr>
      <t>that has at least a 49% stake in all aspects of development control, including but not limited to ownership, cash-flow, and voting rights</t>
    </r>
  </si>
  <si>
    <r>
      <rPr>
        <b/>
        <sz val="12"/>
        <color theme="1"/>
        <rFont val="Arial Narrow"/>
        <family val="2"/>
      </rPr>
      <t>BIPOC-led For-Profit Co-Sponsor</t>
    </r>
    <r>
      <rPr>
        <sz val="12"/>
        <color theme="1"/>
        <rFont val="Arial Narrow"/>
        <family val="2"/>
      </rPr>
      <t xml:space="preserve"> that has at least a 25% (but less than 49%) stake in all aspects of the development control, including but not limited to ownership, cash-flow, and voting rights</t>
    </r>
  </si>
  <si>
    <r>
      <rPr>
        <b/>
        <sz val="12"/>
        <color theme="1"/>
        <rFont val="Arial Narrow"/>
        <family val="2"/>
      </rPr>
      <t>BIPOC-led or BIPOC-governed Non-Profit Organization Co-Sponsor</t>
    </r>
    <r>
      <rPr>
        <sz val="12"/>
        <color theme="1"/>
        <rFont val="Arial Narrow"/>
        <family val="2"/>
      </rPr>
      <t xml:space="preserve"> that has at least a 49% stake in all aspects of development control, including but not limited to ownership, cash-flow, and voting rights</t>
    </r>
  </si>
  <si>
    <r>
      <rPr>
        <b/>
        <sz val="12"/>
        <color theme="1"/>
        <rFont val="Arial Narrow"/>
        <family val="2"/>
      </rPr>
      <t>BIPOC-led or BIPOC-governed Non-Profit Organization Co-Sponsor</t>
    </r>
    <r>
      <rPr>
        <sz val="12"/>
        <color theme="1"/>
        <rFont val="Arial Narrow"/>
        <family val="2"/>
      </rPr>
      <t xml:space="preserve"> that has at least a 25% (but less than 49%) stake in all aspects of the development control, including but not limited to ownership, cash-flow, and voting rights</t>
    </r>
  </si>
  <si>
    <t>The most recent SRN Demand List indicates SRN demand for the municipality (or Chicago community area) of minimum three (3) persons per proposed SRN unit.</t>
  </si>
  <si>
    <t>Not All SRN Units (&lt;100% of SRN Units) Will Receive Federal- or State-Funded Rental Assistance</t>
  </si>
  <si>
    <t xml:space="preserve">All SRN Units (100% of SRN Units) Will Receive Federal- or State-Funded Rental Assistance </t>
  </si>
  <si>
    <t>• If scoring for rental assistance on all SRN units, the executed existing rental assistance contract or executed rental assistance commitment letter for a new rental assistance contract. The submitted letter should meet the guidelines laid out in the 2022-2023 QAP (p.46) and Tab 22E1 of this Workbook.</t>
  </si>
  <si>
    <t>22D3 Non-Profit Organization Participation</t>
  </si>
  <si>
    <t>Project includes an additional five percent (5%) of units that meet Type A accessibility standards, beyond mandatory requirements, for a total of fifteen percent (15%) of Project units meeting Type A standards.</t>
  </si>
  <si>
    <t>A Project can earn three (3) points if, in addition to the required minimum of ten percent (10%) of Project Units designed to Type A accessibility standards  (as defined in the QAP and Standards for Architectural Planning and Construction), an additional five percent (5%) of total Project Units meet Type A accessibility standards - i.e. for a total of fifteen percent (15%) of Project units. 
For more information on Type A accessibility requirements, please refer to the QAP and the Authority's Standards for Architectural Planning and Construction.</t>
  </si>
  <si>
    <t>Rehab or Rehab / New Construction</t>
  </si>
  <si>
    <t>Sponsors will need to provide proof of Project registration in the program of their choice at time of Project Application. When the Project receives its Certificate of Occupancy, Sponsors will provide official documentation to the Authority that they have achieved requisite certification. In lieu of certification, the Authority, in its sole discretion, may accept an alternative verification from a reliable third party qualified to confirm that the Project complies with the certification requirements despite not receiving the official documentation.</t>
  </si>
  <si>
    <t>Proof of registration with eligible third-party net zero certification of Sponsor's choice</t>
  </si>
  <si>
    <t>Projects can earn or lose up to three (3) points for market characteristics according to the criteria laid out in the QAP. The default self-score for this category is zero (0) points. IHDA will evaluate the market characteristics to determine the project's score.</t>
  </si>
  <si>
    <r>
      <rPr>
        <b/>
        <i/>
        <sz val="12"/>
        <color theme="1"/>
        <rFont val="Arial Narrow"/>
        <family val="2"/>
      </rPr>
      <t>Projects can earn up to ten (10) points for Community Targeting in one of three categories, depending on Project location: a) Opportunity Areas; or b) Quality of Life Index; or c) Community Revitalization Strategies. Projects must select one of the three paths when submitting the Project Application.</t>
    </r>
    <r>
      <rPr>
        <sz val="12"/>
        <color theme="1"/>
        <rFont val="Arial Narrow"/>
        <family val="2"/>
      </rPr>
      <t xml:space="preserve">
For the Quality of Life Index category, indicate the Quality of Life Index Score found using IHDA's Quality of Life Index Tool found on IHDA's Website. The Quality of Life Index score is a dynamic measurement of cumulative positive outcome measurements in five different Quality of Life Categories at the Census tract level.
These categories are: education, prosperity, health, housing, and connectivity. Each category is worth two (2) points and consists of carefully vetted data. Each Census tract can achieve overall scores ranging from one (1) to ten (10) points.</t>
    </r>
  </si>
  <si>
    <r>
      <rPr>
        <b/>
        <i/>
        <sz val="12"/>
        <color theme="1"/>
        <rFont val="Arial Narrow"/>
        <family val="2"/>
      </rPr>
      <t>Projects can earn up to ten (10) points for Community Targeting in one of three categories, depending on Project location: a) Opportunity Areas; or b) Quality of Life Index; or c) Community Revitalization Strategies. Projects must select one of the three paths when submitting the Project Application.</t>
    </r>
    <r>
      <rPr>
        <sz val="12"/>
        <color theme="1"/>
        <rFont val="Arial Narrow"/>
        <family val="2"/>
      </rPr>
      <t xml:space="preserve">
To earn points for the Opportunity Area category, indicate the Preliminary Project Assessment (PPA) approval letter determination on the Project's eligibility for Opportunity Area or Proximate Opportunity Area points. </t>
    </r>
    <r>
      <rPr>
        <b/>
        <sz val="12"/>
        <color theme="1"/>
        <rFont val="Arial Narrow"/>
        <family val="2"/>
      </rPr>
      <t>The maximum score is 10.</t>
    </r>
  </si>
  <si>
    <t>Community Revitalization Strategy Units:</t>
  </si>
  <si>
    <t xml:space="preserve">To be eligible for up to ten (10) points in the Community Revitalization Strategies category, Projects must first meet all Community Revitalization Strategy Threshold Requirements, as found on the Authority Website (see also p. 39-40 of the 2022-2023 QAP). Projects with one (1) or more Project units  within a census tract or gegraphic area (a "Community Revitalization Strategy Area") that requires a Community Revitalization Strategy will have received documentation of this requirement in the PPA Notification Letter; Projects that fail to provide a Community Revitalization Strategy that meets minimum thresholds will enter scoring at a deficit of three (3) points. Projects that are partially located within an Opportunity Area and partially located within a census tract or geographic area requiring a Community Revitalization Strategy will similarly need to provide a Community Revitalization Strategy that meets theshold requirements or enter scoring at a deficit of three (3) points.
Once the Community Revitalization Strategy Threshold Requirements are met, Projects can earn up to ten (10) points by providing documentation that additionally meets the Scoring Criteria listed below (and in more detail on the Authority Website; see also p. 39-40 of the 2022-2023 QAP). The Project score will be prorated based on the number of units for which a Community Revitalization Strategy was submitted (e.g. if only half of a Project's total units fall within a Community Revitalization Strategy Area, a Community Revitalization Strategy submitted for those units can only earn a Project up to five (5) points). 
</t>
  </si>
  <si>
    <t>Projects can earn up to ten (10) points for Community Targeting in one of three categories, depending on Project location: a) Opportunity Areas; or b) Quality of Life Index; or c) Community Revitalization Strategies. Projects must select one of the three paths when submitting the Project Application.</t>
  </si>
  <si>
    <t>Projects located in a census tract(s) meeting certain criteria according to the Affordability Risk Index can earn up to five (5) points. A list of the census tracts, their relative rates of change, and their Affordability Risk Index score and supporting data can be found on the Authority Website (see p. 40 of the 2022-2023 QAP). 
Projects that are scattered site with at least one (1) site within a scoring census tract will receive a prorated score based on the proportion of total units located in the scoring census tract. Fractional scores will be rounded up to the next whole number.</t>
  </si>
  <si>
    <r>
      <rPr>
        <b/>
        <sz val="12"/>
        <color theme="1"/>
        <rFont val="Arial Narrow"/>
        <family val="2"/>
      </rPr>
      <t>Transit Oriented Development ("TOD")</t>
    </r>
    <r>
      <rPr>
        <sz val="12"/>
        <color theme="1"/>
        <rFont val="Arial Narrow"/>
        <family val="2"/>
      </rPr>
      <t xml:space="preserve">
All Sites are located within a completed, in-process, or programmed Regional Transit Authority (RTA) Transit Oriented Development (“TOD”) planning area. 
</t>
    </r>
    <r>
      <rPr>
        <b/>
        <sz val="12"/>
        <color theme="1"/>
        <rFont val="Arial Narrow"/>
        <family val="2"/>
      </rPr>
      <t>-or-</t>
    </r>
    <r>
      <rPr>
        <sz val="12"/>
        <color theme="1"/>
        <rFont val="Arial Narrow"/>
        <family val="2"/>
      </rPr>
      <t xml:space="preserve">
For Sites that are located outside of the RTA's Transit Oriented Development Program of Northeastern Illinois, a local Transit Oriented Development plan may be submitted if the plan clearly includes additional housing as an initiative of the plan and is located within one-half (0.5) mile of a major transportation hub.</t>
    </r>
  </si>
  <si>
    <r>
      <rPr>
        <b/>
        <sz val="12"/>
        <color theme="1"/>
        <rFont val="Arial Narrow"/>
        <family val="2"/>
      </rPr>
      <t>Mass Transit or Demand Responsive Transit (“DRT”)</t>
    </r>
    <r>
      <rPr>
        <sz val="12"/>
        <color theme="1"/>
        <rFont val="Arial Narrow"/>
        <family val="2"/>
      </rPr>
      <t xml:space="preserve">
All Sites are located within one-quarter (0.25) mile of a fixed route transit stop, defined as: a bus and train stop serving local destinations, with scheduled operations beginning no later than 8:00 a.m. and ending no earlier than 6:00 p.m., Monday through Friday;
</t>
    </r>
    <r>
      <rPr>
        <b/>
        <sz val="12"/>
        <color theme="1"/>
        <rFont val="Arial Narrow"/>
        <family val="2"/>
      </rPr>
      <t>-or-</t>
    </r>
    <r>
      <rPr>
        <sz val="12"/>
        <color theme="1"/>
        <rFont val="Arial Narrow"/>
        <family val="2"/>
      </rPr>
      <t xml:space="preserve">
All Sites are served by a DRT service Monday through Friday. DRT must be available to the public at large; that is, it may not be restricted to service for the elderly or disabled.
</t>
    </r>
  </si>
  <si>
    <r>
      <rPr>
        <b/>
        <sz val="12"/>
        <color theme="1"/>
        <rFont val="Arial Narrow"/>
        <family val="2"/>
      </rPr>
      <t>Proximity to Jobs</t>
    </r>
    <r>
      <rPr>
        <sz val="12"/>
        <color theme="1"/>
        <rFont val="Arial Narrow"/>
        <family val="2"/>
      </rPr>
      <t xml:space="preserve">
Scoring eligible Sites are located within a proximate distance from a local job center determined by the locations' geographic set-aside. Documentation of job access will be produced from the US Census Bureau "On the Map" tool and submitted with Project Application materials. Step-by-step instructions for scoring submission documentation and guidance on using the On the Map tool can be found on the Authority’s Website (see also p. 41 of the 2022-2023 QAP).
</t>
    </r>
    <r>
      <rPr>
        <b/>
        <i/>
        <sz val="12"/>
        <color theme="1"/>
        <rFont val="Arial Narrow"/>
        <family val="2"/>
      </rPr>
      <t>Thresholds:</t>
    </r>
    <r>
      <rPr>
        <sz val="12"/>
        <color theme="1"/>
        <rFont val="Arial Narrow"/>
        <family val="2"/>
      </rPr>
      <t xml:space="preserve">
• Non-Metro: Three thousand five hundred (3,500) jobs located within five (5) miles of site
• Other Metro: Five thousand six hundred (5,600) jobs located within one (1) mile of site
• Chicago Metro: Six thousand five hundred (6,500) jobs located within one (1) mile of site
• City of Chicago: Ten thousand seven hundred (10,700) jobs located within one (1) mile of site</t>
    </r>
  </si>
  <si>
    <t>All Projects eligible for points in this category must first meet Enterprise Green Communities ("EGC") mandatory criteria for Location and Neighborhood Fabric. The Authority also requires that Projects have adequate Food Access at the PPA stage. For additional details on mandatory requirements, please refer to section VIII of the 2022-2023 QAP.</t>
  </si>
  <si>
    <t>0.5 miles</t>
  </si>
  <si>
    <t>5 miles</t>
  </si>
  <si>
    <r>
      <t>Eligible neighborhood assets must be</t>
    </r>
    <r>
      <rPr>
        <b/>
        <sz val="12"/>
        <color theme="1"/>
        <rFont val="Arial Narrow"/>
        <family val="2"/>
      </rPr>
      <t xml:space="preserve"> in addition</t>
    </r>
    <r>
      <rPr>
        <sz val="12"/>
        <color theme="1"/>
        <rFont val="Arial Narrow"/>
        <family val="2"/>
      </rPr>
      <t xml:space="preserve"> to amenities demonstrated by the Project under the Food Access category at the PPA stage and QAP Mandatory criteria. Scattered Site Projects must submit documentation for all Sites. A Project will receive a point in any of the Neighborhood Assets categories listed below only if a plurality of the total number of Project Sites each meets the requirements for a point within that category. 
Assets must be evidenced through submission of map(s) clearly delineating all Sites and distance to each Neighborhood Asset. The Asset Map Template under the Community Revitalization Strategies section of the Authority Website (also see p. 42 of the 2022-2023 QAP) can be used to produce maps to meet the documentation requirements for the Neighborhood Assets category.</t>
    </r>
  </si>
  <si>
    <t>Once EGC mandatory criteria are met, sites that have additional desirable neighborhood characteristics and amenities as designated by the Authority can score up to five (5) points in total, depending on the proximity of neighborhood assets to the project, as defined below:</t>
  </si>
  <si>
    <t>A Project Application may score a maximum of one (1) point per category in the following categories (example amenities should not be considered exhaustive), for a maximum of five (5) points:</t>
  </si>
  <si>
    <t>≥ than 50%?</t>
  </si>
  <si>
    <t>Present for Plurality of Sites</t>
  </si>
  <si>
    <t>Map(s) clearly delineating all Sites and distance to each Neighborhood Asset</t>
  </si>
  <si>
    <t>Indicate the Illinois-based participants by selecting 'X' from the drop-down menus in the cells below. To score points as Illinois-based, Participants’ place of business must have been incorporated in Illinois. Projects can earn up to two (2) points.</t>
  </si>
  <si>
    <t>This must be evidenced through submission of the Secretary of State’s Certificate of Good Standing for each eligible Participant, certifying that the relevant business was incorporated under the laws of Illinois a minimum of two (2) years prior to the submission deadline.</t>
  </si>
  <si>
    <r>
      <rPr>
        <b/>
        <sz val="12"/>
        <color theme="1"/>
        <rFont val="Arial Narrow"/>
        <family val="2"/>
      </rPr>
      <t>Non-profit Sponsors</t>
    </r>
    <r>
      <rPr>
        <sz val="12"/>
        <color theme="1"/>
        <rFont val="Arial Narrow"/>
        <family val="2"/>
      </rPr>
      <t xml:space="preserve"> can receive points if they qualify as either a</t>
    </r>
    <r>
      <rPr>
        <i/>
        <sz val="12"/>
        <color theme="1"/>
        <rFont val="Arial Narrow"/>
        <family val="2"/>
      </rPr>
      <t xml:space="preserve"> BIPOC-led</t>
    </r>
    <r>
      <rPr>
        <sz val="12"/>
        <color theme="1"/>
        <rFont val="Arial Narrow"/>
        <family val="2"/>
      </rPr>
      <t xml:space="preserve"> or </t>
    </r>
    <r>
      <rPr>
        <i/>
        <sz val="12"/>
        <color theme="1"/>
        <rFont val="Arial Narrow"/>
        <family val="2"/>
      </rPr>
      <t>BIPOC-governed organization,</t>
    </r>
    <r>
      <rPr>
        <sz val="12"/>
        <color theme="1"/>
        <rFont val="Arial Narrow"/>
        <family val="2"/>
      </rPr>
      <t xml:space="preserve"> per the scoring matrix provided below, each defined as follows:</t>
    </r>
  </si>
  <si>
    <t>In total, Projects can earn up to ten (10) points by assembling a development team that includes a combination of Participants as outlined in either Option A or Option B of the below scoring matrix:</t>
  </si>
  <si>
    <r>
      <rPr>
        <b/>
        <sz val="12"/>
        <color theme="1"/>
        <rFont val="Arial Narrow"/>
        <family val="2"/>
      </rPr>
      <t>Non-profit Sponsors</t>
    </r>
    <r>
      <rPr>
        <sz val="12"/>
        <color theme="1"/>
        <rFont val="Arial Narrow"/>
        <family val="2"/>
      </rPr>
      <t xml:space="preserve"> can receive points if they qualify as either a</t>
    </r>
    <r>
      <rPr>
        <i/>
        <sz val="12"/>
        <color theme="1"/>
        <rFont val="Arial Narrow"/>
        <family val="2"/>
      </rPr>
      <t xml:space="preserve"> </t>
    </r>
    <r>
      <rPr>
        <b/>
        <i/>
        <sz val="12"/>
        <color theme="1"/>
        <rFont val="Arial Narrow"/>
        <family val="2"/>
      </rPr>
      <t>BIPOC-led Non-Profit Organization Sponsor</t>
    </r>
    <r>
      <rPr>
        <sz val="12"/>
        <color theme="1"/>
        <rFont val="Arial Narrow"/>
        <family val="2"/>
      </rPr>
      <t xml:space="preserve"> or </t>
    </r>
    <r>
      <rPr>
        <b/>
        <i/>
        <sz val="12"/>
        <color theme="1"/>
        <rFont val="Arial Narrow"/>
        <family val="2"/>
      </rPr>
      <t>BIPOC-governed Non-Profit Organization Sponsor</t>
    </r>
    <r>
      <rPr>
        <i/>
        <sz val="12"/>
        <color theme="1"/>
        <rFont val="Arial Narrow"/>
        <family val="2"/>
      </rPr>
      <t>,</t>
    </r>
    <r>
      <rPr>
        <sz val="12"/>
        <color theme="1"/>
        <rFont val="Arial Narrow"/>
        <family val="2"/>
      </rPr>
      <t xml:space="preserve"> per the scoring matrix provided below, with each defined as follows:</t>
    </r>
  </si>
  <si>
    <r>
      <rPr>
        <b/>
        <sz val="12"/>
        <color theme="1"/>
        <rFont val="Arial Narrow"/>
        <family val="2"/>
      </rPr>
      <t>For-profit Sponsors</t>
    </r>
    <r>
      <rPr>
        <sz val="12"/>
        <color theme="1"/>
        <rFont val="Arial Narrow"/>
        <family val="2"/>
      </rPr>
      <t xml:space="preserve"> can receive points if certified as a Minority-Owned Business Enterprise (MBE), per the scoring matrix provided below (a "</t>
    </r>
    <r>
      <rPr>
        <b/>
        <i/>
        <sz val="12"/>
        <color theme="1"/>
        <rFont val="Arial Narrow"/>
        <family val="2"/>
      </rPr>
      <t>BIPOC-led For-Profit Sponsor</t>
    </r>
    <r>
      <rPr>
        <sz val="12"/>
        <color theme="1"/>
        <rFont val="Arial Narrow"/>
        <family val="2"/>
      </rPr>
      <t xml:space="preserve">"). </t>
    </r>
    <r>
      <rPr>
        <b/>
        <sz val="12"/>
        <color theme="1"/>
        <rFont val="Arial Narrow"/>
        <family val="2"/>
      </rPr>
      <t>For-profit General Contractors</t>
    </r>
    <r>
      <rPr>
        <sz val="12"/>
        <color theme="1"/>
        <rFont val="Arial Narrow"/>
        <family val="2"/>
      </rPr>
      <t xml:space="preserve">, </t>
    </r>
    <r>
      <rPr>
        <b/>
        <sz val="12"/>
        <color theme="1"/>
        <rFont val="Arial Narrow"/>
        <family val="2"/>
      </rPr>
      <t>Architects</t>
    </r>
    <r>
      <rPr>
        <sz val="12"/>
        <color theme="1"/>
        <rFont val="Arial Narrow"/>
        <family val="2"/>
      </rPr>
      <t xml:space="preserve">, or </t>
    </r>
    <r>
      <rPr>
        <b/>
        <sz val="12"/>
        <color theme="1"/>
        <rFont val="Arial Narrow"/>
        <family val="2"/>
      </rPr>
      <t>Property Managers</t>
    </r>
    <r>
      <rPr>
        <sz val="12"/>
        <color theme="1"/>
        <rFont val="Arial Narrow"/>
        <family val="2"/>
      </rPr>
      <t xml:space="preserve"> can receive points if certified as a Minority-Owned Business Enterprise (MBE), Women-Owned Business Enterprise (WBE), or Disadvantaged Business Enterprise (DBE), per the scoring matrix provided below. To receive points, for each relevant for-profit firm the Project Application must include documentation of MBE, WBE, or DBE certification from one of the following entities:</t>
    </r>
  </si>
  <si>
    <r>
      <rPr>
        <u/>
        <sz val="12"/>
        <color theme="1"/>
        <rFont val="Arial Narrow"/>
        <family val="2"/>
      </rPr>
      <t xml:space="preserve">BIPOC-Led Non-Profit Organization Sponsor: </t>
    </r>
    <r>
      <rPr>
        <i/>
        <sz val="12"/>
        <color theme="1"/>
        <rFont val="Arial Narrow"/>
        <family val="2"/>
      </rPr>
      <t xml:space="preserve">
</t>
    </r>
    <r>
      <rPr>
        <sz val="12"/>
        <color theme="1"/>
        <rFont val="Arial Narrow"/>
        <family val="2"/>
      </rPr>
      <t xml:space="preserve">Self-certification and organizational chart, evidencing that a minimum of 35% of director-level employee leadership is BIPOC, including the Executive Director and a share of those employees reporting </t>
    </r>
    <r>
      <rPr>
        <i/>
        <sz val="12"/>
        <color theme="1"/>
        <rFont val="Arial Narrow"/>
        <family val="2"/>
      </rPr>
      <t>directly</t>
    </r>
    <r>
      <rPr>
        <sz val="12"/>
        <color theme="1"/>
        <rFont val="Arial Narrow"/>
        <family val="2"/>
      </rPr>
      <t xml:space="preserve"> to the Executive Director.</t>
    </r>
  </si>
  <si>
    <r>
      <rPr>
        <u/>
        <sz val="12"/>
        <color theme="1"/>
        <rFont val="Arial Narrow"/>
        <family val="2"/>
      </rPr>
      <t xml:space="preserve">BIPOC-Led For-Profit Sponsor: </t>
    </r>
    <r>
      <rPr>
        <i/>
        <sz val="12"/>
        <color theme="1"/>
        <rFont val="Arial Narrow"/>
        <family val="2"/>
      </rPr>
      <t xml:space="preserve">
</t>
    </r>
    <r>
      <rPr>
        <sz val="12"/>
        <color theme="1"/>
        <rFont val="Arial Narrow"/>
        <family val="2"/>
      </rPr>
      <t xml:space="preserve">Current Minority-Owned Business (MBE) certification from: 
• The Illinois Department of Central Management Services - Business Enterprise Program for Minorities, Females, and Persons with Disabilities; </t>
    </r>
    <r>
      <rPr>
        <b/>
        <sz val="12"/>
        <color theme="1"/>
        <rFont val="Arial Narrow"/>
        <family val="2"/>
      </rPr>
      <t>OR</t>
    </r>
    <r>
      <rPr>
        <sz val="12"/>
        <color theme="1"/>
        <rFont val="Arial Narrow"/>
        <family val="2"/>
      </rPr>
      <t xml:space="preserve"> 
• City of Chicago, City of St. Louis, Cook County, Chicago Transit Authority, Illinois Department of
Transportation, METRA, PACE, Chicago Minority Supplier Development Council, Mid-States
Minority Supplier Development Council or Women’s Business Development Center.</t>
    </r>
  </si>
  <si>
    <r>
      <rPr>
        <u/>
        <sz val="12"/>
        <color theme="1"/>
        <rFont val="Arial Narrow"/>
        <family val="2"/>
      </rPr>
      <t>General Contractor, Architect, and/or Property Manager (For-Profit) Firms:</t>
    </r>
    <r>
      <rPr>
        <i/>
        <sz val="12"/>
        <color theme="1"/>
        <rFont val="Arial Narrow"/>
        <family val="2"/>
      </rPr>
      <t xml:space="preserve">
</t>
    </r>
    <r>
      <rPr>
        <sz val="12"/>
        <color theme="1"/>
        <rFont val="Arial Narrow"/>
        <family val="2"/>
      </rPr>
      <t xml:space="preserve">Current Minority-Owned Business Enterprise (MBE), Women-Owned Business Enterprise (WBE), or Disadvantaged Business Enterprise (DBE) certification from: 
• The Illinois Department of Central Management Services - Business Enterprise Program for Minorities, Females, and Persons with Disabilities; </t>
    </r>
    <r>
      <rPr>
        <b/>
        <sz val="12"/>
        <color theme="1"/>
        <rFont val="Arial Narrow"/>
        <family val="2"/>
      </rPr>
      <t>OR</t>
    </r>
    <r>
      <rPr>
        <sz val="12"/>
        <color theme="1"/>
        <rFont val="Arial Narrow"/>
        <family val="2"/>
      </rPr>
      <t xml:space="preserve"> 
• City of Chicago, City of St. Louis, Cook County, Chicago Transit Authority, Illinois Department of
Transportation, METRA, PACE, Chicago Minority Supplier Development Council, Mid-States
Minority Supplier Development Council or Women’s Business Development Center.</t>
    </r>
  </si>
  <si>
    <t>Indicate if each of the following has been submitted with the Project Application:</t>
  </si>
  <si>
    <r>
      <t xml:space="preserve">Projects that involve the participation of a Qualified Non-Profit Organization can earn three (3) points. Indicate below if the Project meets the scoring threshold for non-profit organization participation.
For purposes of scoring points for Qualified Non-Profit Participation: Qualified Non-Profit must hold a majority ownership interest (more than 50%) and Control in the general partner or managing member of the project Owner and materially participate throughout the Compliance Period (see p. 45-46 of the 2022-2023 QAP). The Qualified Non-Profit Organization must also have the right of first refusal at the end of the Tax Credit Compliance Period.
Qualification must be evidenced through submission of: (a) the Qualified Non-Profit Corporation’s IRS determination letter; and (b) the section of the Corporation’s Articles or By-Laws which evidence the fostering of low-income housing as an exempt purpose, with that purpose clearly marked and highlighted
</t>
    </r>
    <r>
      <rPr>
        <b/>
        <sz val="12"/>
        <color theme="1"/>
        <rFont val="Arial Narrow"/>
        <family val="2"/>
      </rPr>
      <t xml:space="preserve">Projects that elect to score points for Qualified Non-Profit Corporation participation will be required to check the Non-Profit set aside box on IRS Form 8609 at time of Tax Credit cost certification.
</t>
    </r>
  </si>
  <si>
    <t>Qualified Non-Profit holds a majority ownership interest and Control in the general partner or managing member of the project Owner and will materially participate throughout Compliance period. The Qualified Non-Profit has the right of first refusal at the end of the Compliance Period.</t>
  </si>
  <si>
    <t>Projects may earn points for either existing unit-based (rather than tenant-based) federal rental assistance or new commitments of unit-based federal rental assistance. To be eligible for points, the term of the rental assistance contract must have at least ten (10) years remaining, and new commitments must have a minimum term of ten (10) years. All underwriting assumptions regarding the funding and renewal of rental assistance contracts must be clearly identified. Rental assistance commitments cannot be conditioned on an Allocation of Tax Credits.</t>
  </si>
  <si>
    <t>• The PHA has selected the property to receive PBVs in accordance with the PHA Administrative Plan and 24 C.F.R. § 983.51.</t>
  </si>
  <si>
    <t>Projects that are unable to obtain federal project-based rental assistance contracts may score up to eight (8) points for providing units with rents restricted to the thirty percent (30%) AMI limit and occupancy restricted to households with incomes at or below thirty percent (30%) of AMI.</t>
  </si>
  <si>
    <t>Units used to score points for deeper income targeting must be in addition to the mandatory five percent (5%) or ten percent (10%) of Project units (respective of the Project’s geographic Set-Aside) that are required to be dedicated to the Statewide Referral Network at the thirty percent (30%) AMI level.</t>
  </si>
  <si>
    <t>Total 30% AMI Units as % of Total Project Units</t>
  </si>
  <si>
    <t>Projects with no Authority resource request, other than Federal Tax Credits (LIHTC), can earn two (2) points. Projects with no Authority resource request except for LIHTC and Illinois Affordable Housing Tax Credits (IAHTC) can score one (1) point provided that the IAHTC award does not exceed 1.5 million IAHTC. 
Any changes to this commitment after Project award will be considered in the review of future Project Applications and could negatively impact future Project Applications to the Authority.</t>
  </si>
  <si>
    <t>Projects with no Authority resource request except for LIHTC and Illinois Affordable Housing Tax Credits (IAHTC); IAHTC award does not exceed 1.5 million IAHTC.</t>
  </si>
  <si>
    <t>Deferred Developer Fee</t>
  </si>
  <si>
    <t>Grants from utilities, Federal Home Loan Bank grants, or other foundations.</t>
  </si>
  <si>
    <t>Projects may include additional Statewide Referral Network Units in the unit mix for up to ten (10) points if, on the date Project Applications are due, there are at least three (3) persons per one (1) unit according to the Statewide Referral Network Demand List within the Project’s municipality or community area in Chicago. The most updated Demand List can be found on the Website.</t>
  </si>
  <si>
    <t xml:space="preserve">• A draft Statewide Referral Network Agreement (template available on the Website) with the Project Application, to evidence the percentage of SRN units committed as well as whether those units will be covered by rental assistance. </t>
  </si>
  <si>
    <t>• If scoring for rental assistance on all SRN units, the executed existing rental assistance contract or executed rental assistance commitment letter for a new rental assistance contract. The submitted letter should follow the guidelines laid out in the 2022-2023 QAP (p.46) and Tab 22E1 of this Workbook.</t>
  </si>
  <si>
    <t>The most recent Section 811 Demand List indicates demand for the municipality (or Chicago community area) of minimum three (3) persons per proposed 811 unit.</t>
  </si>
  <si>
    <r>
      <t xml:space="preserve">Sponsors that are interested, capable, and willing to seriously commit to participation in the Section 811 program may receive up to two (2) points. 
Projects are only eligible if, at the time of Project Application, there are at least three (3) persons per one (1) unit on the Section 811 Demand List, based on the Project’s municipality or community area in Chicago. To avoid overconcentration, the Authority will provide Section 811 Project-Based Rental Assistance to no more than twenty-five percent (25%) of total Project units.
</t>
    </r>
    <r>
      <rPr>
        <b/>
        <i/>
        <sz val="12"/>
        <color theme="1"/>
        <rFont val="Arial Narrow"/>
        <family val="2"/>
      </rPr>
      <t>Sponsors must complete the Section 811 Interest Form (attached below) to certify their interest in the program.</t>
    </r>
  </si>
  <si>
    <r>
      <t>For projects funded with Project-Based Rental Assistance, residents must be extremely low-income (</t>
    </r>
    <r>
      <rPr>
        <sz val="12"/>
        <color theme="1"/>
        <rFont val="Calibri"/>
        <family val="2"/>
      </rPr>
      <t>≤</t>
    </r>
    <r>
      <rPr>
        <sz val="12"/>
        <color theme="1"/>
        <rFont val="Arial Narrow"/>
        <family val="2"/>
      </rPr>
      <t>30% of the area median income) with at least one adult member with a disability. To avoid overconcentration, the Authority will provide Section 811 Project-Based Rental Assistance to no more than twenty-five percent (25%) of total Project units.</t>
    </r>
  </si>
  <si>
    <t>Proposed Project Section 811 Units:</t>
  </si>
  <si>
    <t>Project will receive Project-Based Rental Assistance under the Section 811 Program, as evidenced by completion and submission of this Certification and the below Section 811 Interest Form; the Sponsor has verified that there were at least three (3) persons per one (1) unit on the Section 811 Demand List at time of Project Application.</t>
  </si>
  <si>
    <t>Indicate whether the development is located in an AHPAA community per the directory available on IHDA's website.</t>
  </si>
  <si>
    <t>Section 811 Interest Form (Included at bottom of Tab 22F2 of this Workbook)</t>
  </si>
  <si>
    <r>
      <t>Projects that leverage non-Authority sources that are available during the construction period to pay for expenses reflected in the development budget, and that either remain in the Project after construction or are swapped out with another non-Authority Source as permanent financing, can earn up to eight (8) points.
Sponsors seeking to score points must be able to submit financing documentation that meets the requirements of the Authority's Underwriting Standards Guide (see the Authority's Website, as well as p. 48 of the 2022-2023 QAP), for all leveraging resources eligible for points.</t>
    </r>
    <r>
      <rPr>
        <b/>
        <sz val="12"/>
        <color theme="1"/>
        <rFont val="Arial Narrow"/>
        <family val="2"/>
      </rPr>
      <t xml:space="preserve"> When completing the certification below, be sure that the Total Development Cost and Leveraging resources entered match the information provided in the Common Application Excel document submitted as part of the Project Application.</t>
    </r>
    <r>
      <rPr>
        <sz val="12"/>
        <color theme="1"/>
        <rFont val="Arial Narrow"/>
        <family val="2"/>
      </rPr>
      <t xml:space="preserve">
</t>
    </r>
  </si>
  <si>
    <t xml:space="preserve">A Project can earn up to seven (7) points for providing an additional ten (10) elements above mandatory Universal Design requirements, that are not required by code, in one hundred percent (100%) of units. For Universal Design mandatory requirements, please refer to the Authority's Architectural Standards, Universal Design and Amenities Certification.
The Architectural Standards, Universal Design, and Amenities Certification submitted in fulfillment of Mandatory requirements (see p. 24-26 of the 2022-2023 QAP) must reflect an additional ten (10) universal Design for the Project to receive points in this category. 
</t>
  </si>
  <si>
    <t>3) Non-Profit Organization Participation</t>
  </si>
  <si>
    <t>3) Non-profit Organization Participation</t>
  </si>
  <si>
    <t>Non-Profit Organization Participation Certification (Tab 22D3)</t>
  </si>
  <si>
    <t>Version: January 2022</t>
  </si>
  <si>
    <t>The Section 811 Project-Based Rental Assistance (PRA) program allows persons with disabilities to live as independently as possible in the community by subsidizing rental housing opportunities which provide access to appropriate supportive services. Section 811 program is authorized to function as an operating subsidy to developers of affordable housing for persons with disabilities.</t>
  </si>
  <si>
    <t>The section of the Qualified Non-Profit Corporation’s Articles of Incorporation or Bylaws evidencing the fostering of low-income housing as an exempt purpose, with that purpose clearly marked and highlighted</t>
  </si>
  <si>
    <r>
      <rPr>
        <u/>
        <sz val="12"/>
        <color theme="1"/>
        <rFont val="Arial Narrow"/>
        <family val="2"/>
      </rPr>
      <t>Rental Assistance (If Applicable):</t>
    </r>
    <r>
      <rPr>
        <sz val="12"/>
        <color theme="1"/>
        <rFont val="Arial Narrow"/>
        <family val="2"/>
      </rPr>
      <t xml:space="preserve">
</t>
    </r>
    <r>
      <rPr>
        <i/>
        <sz val="12"/>
        <color theme="1"/>
        <rFont val="Arial Narrow"/>
        <family val="2"/>
      </rPr>
      <t xml:space="preserve">Existing Rental Assistance Contracts: 
</t>
    </r>
    <r>
      <rPr>
        <sz val="12"/>
        <color theme="1"/>
        <rFont val="Arial Narrow"/>
        <family val="2"/>
      </rPr>
      <t xml:space="preserve">Projects must submit a copy of the fully executed rental assistance contract from the entity providing the rental assistance that includes:
• maximum income limits as a percent of AMI; and
• total number of units assisted by unit type; and
• length of the rental assistance contract; and
• contract rent by unit type paid through the rental assistance. The contract rent is the maximum
amount of rent paid to the Project by the rental assistance.
</t>
    </r>
    <r>
      <rPr>
        <i/>
        <sz val="12"/>
        <color theme="1"/>
        <rFont val="Arial Narrow"/>
        <family val="2"/>
      </rPr>
      <t xml:space="preserve">New Commitments of Rental Assistance:
</t>
    </r>
    <r>
      <rPr>
        <sz val="12"/>
        <color theme="1"/>
        <rFont val="Arial Narrow"/>
        <family val="2"/>
      </rPr>
      <t>Executed rental assistance commitment letter from a Public Housing Authority (PHA) using Project Based Vouchers (PBV). This letter must also provide documentation that:
• The PHA Administrative Plan allows for the PHA to administer a PBV Program
• The PHA has selected the property to receive PBVs is in accordance with the PHA Administrative Plan and 24 C.F.R. § 983.51.
An existing contract must have at least ten (10) years remaining, and new commitments must have a minimum term of ten (10) years. All underwriting assumptions regarding the funding/renewal of a contract must be identified. New commitments cannot be conditioned on an Allocation of Tax Credits.
A Sponsor plege to accept Section 811 Project-Based Rental Assistance does not qualify as a commitment of rental assistance for this category.</t>
    </r>
  </si>
  <si>
    <r>
      <t xml:space="preserve">To be eligible for point for SRN units above these minimum percentages, a Project must meet the 3:1 ratio of demand for the </t>
    </r>
    <r>
      <rPr>
        <b/>
        <i/>
        <sz val="12"/>
        <color theme="1"/>
        <rFont val="Arial Narrow"/>
        <family val="2"/>
      </rPr>
      <t>total</t>
    </r>
    <r>
      <rPr>
        <sz val="12"/>
        <color theme="1"/>
        <rFont val="Arial Narrow"/>
        <family val="2"/>
      </rPr>
      <t xml:space="preserve"> number of Project SRN units (i.e., including the mandatory number of SRN units required for the Project). For a hypothetical 100-unit building in Chicago Metro, the SRN Demand List must show a minimum of 30 people for the ten (10) mandatory SRN units, plus three (3) people for each SRN unit above that minimum ten (10) units; if the Sponsor hoped to earn points for a total of twelve (12) SRN units, the waitlist would need to show 36 or more individuals interested in an SRN unit within that municipality.
Projects can earn further points through the addition of rental assistance subsidy to all SRN units (100% of SRN units) in the Project. A combination of additional SRN units (above mandatory requirements) and rental assistance on all SRN units will provide the greatest number of points.</t>
    </r>
    <r>
      <rPr>
        <b/>
        <sz val="12"/>
        <color theme="1"/>
        <rFont val="Arial Narrow"/>
        <family val="2"/>
      </rPr>
      <t xml:space="preserve"> Note: a Sponsor pledge to accept Section 811 Project-Based Rental Assistance (see Tab 22F2 or p. 49 of the 2022-2023 QAP) will not qualify as an eligible commitment of rental assistance under this category.</t>
    </r>
    <r>
      <rPr>
        <sz val="12"/>
        <color theme="1"/>
        <rFont val="Arial Narrow"/>
        <family val="2"/>
      </rPr>
      <t xml:space="preserve">
To score for each of these features, Sponsors must submit the following documentation, as applicable:</t>
    </r>
  </si>
  <si>
    <r>
      <rPr>
        <u/>
        <sz val="12"/>
        <color theme="1"/>
        <rFont val="Arial Narrow"/>
        <family val="2"/>
      </rPr>
      <t xml:space="preserve">BIPOC-Led Non-Profit Organization Sponsor: </t>
    </r>
    <r>
      <rPr>
        <i/>
        <sz val="12"/>
        <color theme="1"/>
        <rFont val="Arial Narrow"/>
        <family val="2"/>
      </rPr>
      <t xml:space="preserve">
</t>
    </r>
    <r>
      <rPr>
        <sz val="12"/>
        <color theme="1"/>
        <rFont val="Arial Narrow"/>
        <family val="2"/>
      </rPr>
      <t xml:space="preserve">A completed BIPOC Participation Certification form and an organizational chart evidencing that a minimum of 35% of director-level employee leadership is BIPOC, including the Executive Director and a share of those employees reporting </t>
    </r>
    <r>
      <rPr>
        <i/>
        <sz val="12"/>
        <color theme="1"/>
        <rFont val="Arial Narrow"/>
        <family val="2"/>
      </rPr>
      <t>directly</t>
    </r>
    <r>
      <rPr>
        <sz val="12"/>
        <color theme="1"/>
        <rFont val="Arial Narrow"/>
        <family val="2"/>
      </rPr>
      <t xml:space="preserve"> to the Executive Director.</t>
    </r>
  </si>
  <si>
    <r>
      <rPr>
        <u/>
        <sz val="12"/>
        <color theme="1"/>
        <rFont val="Arial Narrow"/>
        <family val="2"/>
      </rPr>
      <t xml:space="preserve">BIPOC-Governed Non-Profit Organization Sponsor: </t>
    </r>
    <r>
      <rPr>
        <i/>
        <sz val="12"/>
        <color theme="1"/>
        <rFont val="Arial Narrow"/>
        <family val="2"/>
      </rPr>
      <t xml:space="preserve">
</t>
    </r>
    <r>
      <rPr>
        <sz val="12"/>
        <color theme="1"/>
        <rFont val="Arial Narrow"/>
        <family val="2"/>
      </rPr>
      <t xml:space="preserve">• A completed BIPOC Participation Certification form and an organizational chart, evidencing that the Board Chair and a minimum of 30% of all other voting members are BIPOC; </t>
    </r>
    <r>
      <rPr>
        <b/>
        <sz val="12"/>
        <color theme="1"/>
        <rFont val="Arial Narrow"/>
        <family val="2"/>
      </rPr>
      <t xml:space="preserve">OR
• </t>
    </r>
    <r>
      <rPr>
        <sz val="12"/>
        <color theme="1"/>
        <rFont val="Arial Narrow"/>
        <family val="2"/>
      </rPr>
      <t>A completed BIPOC Participation Certification form and an organizational chart, evidencing that the overall Board composition is 40% BIPOC.</t>
    </r>
  </si>
  <si>
    <r>
      <t xml:space="preserve">(1) </t>
    </r>
    <r>
      <rPr>
        <i/>
        <sz val="12"/>
        <color theme="1"/>
        <rFont val="Arial Narrow"/>
        <family val="2"/>
      </rPr>
      <t xml:space="preserve">BIPOC-led: </t>
    </r>
    <r>
      <rPr>
        <sz val="12"/>
        <color theme="1"/>
        <rFont val="Arial Narrow"/>
        <family val="2"/>
      </rPr>
      <t xml:space="preserve">A minimum of 35 percent of director-level employee leadership is BIPOC, including the Executive Director and a share of those employees reporting directly to the Executive Director. This will be evidenced via a completed BIPOC Participation Certification form (found on the Authority Website) and an organizational chart submitted as part of the Project Application; </t>
    </r>
    <r>
      <rPr>
        <b/>
        <sz val="12"/>
        <color theme="1"/>
        <rFont val="Arial Narrow"/>
        <family val="2"/>
      </rPr>
      <t>OR</t>
    </r>
  </si>
  <si>
    <r>
      <t xml:space="preserve">(2) </t>
    </r>
    <r>
      <rPr>
        <i/>
        <sz val="12"/>
        <color theme="1"/>
        <rFont val="Arial Narrow"/>
        <family val="2"/>
      </rPr>
      <t>BIPOC-governed:</t>
    </r>
    <r>
      <rPr>
        <sz val="12"/>
        <color theme="1"/>
        <rFont val="Arial Narrow"/>
        <family val="2"/>
      </rPr>
      <t xml:space="preserve"> a) A non-profit whose Board Chair </t>
    </r>
    <r>
      <rPr>
        <b/>
        <sz val="12"/>
        <color theme="1"/>
        <rFont val="Arial Narrow"/>
        <family val="2"/>
      </rPr>
      <t>AND</t>
    </r>
    <r>
      <rPr>
        <sz val="12"/>
        <color theme="1"/>
        <rFont val="Arial Narrow"/>
        <family val="2"/>
      </rPr>
      <t xml:space="preserve"> a minimum 30 percent of all other voting members is BIPOC; </t>
    </r>
    <r>
      <rPr>
        <b/>
        <sz val="12"/>
        <color theme="1"/>
        <rFont val="Arial Narrow"/>
        <family val="2"/>
      </rPr>
      <t>OR</t>
    </r>
    <r>
      <rPr>
        <sz val="12"/>
        <color theme="1"/>
        <rFont val="Arial Narrow"/>
        <family val="2"/>
      </rPr>
      <t xml:space="preserve"> b) whose overall Board composition is 40 percent BIPOC. This will be evidenced via a completed BIPOC Participation Certification form (found on the Authority Website) and an organizational chart submitted with the Project Application.</t>
    </r>
  </si>
  <si>
    <r>
      <rPr>
        <u/>
        <sz val="12"/>
        <color theme="1"/>
        <rFont val="Arial Narrow"/>
        <family val="2"/>
      </rPr>
      <t>Memorandum of Understanding (Mandatory for Sponsor Partnerships Seeking to Score Points):</t>
    </r>
    <r>
      <rPr>
        <sz val="12"/>
        <color theme="1"/>
        <rFont val="Arial Narrow"/>
        <family val="2"/>
      </rPr>
      <t xml:space="preserve">
The Authority will require that every Sponsor Joint Venture partnership submit a copy of a Memorandum of Understanding (MOU) or similar document that details the role of each partner and at a minimum details the role of each partner during the following stages:
• Initial Application
• Post Award through initial closing
• Construction
• Post-Construction/Operations
The MOU should include, at a minimum, the following information:
• Describe how the community development/housing development experience of the members of the Joint Venture will benefit the project.
• Detail how the more experienced member of the Joint Venture will share knowledge with the less experienced member.
• Detail the role of the members in community meetings, financing meetings, design meetings and interactions with municipalities.
• Evidence the financial benefit to the members of the Joint Venture (developer fee split, who is providing guarantees, other financial arrangements).</t>
    </r>
  </si>
  <si>
    <t>2022- 2023 Hard Cost Limits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</si>
</sst>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0.0%"/>
    <numFmt numFmtId="165" formatCode="&quot;$&quot;#,##0"/>
    <numFmt numFmtId="166" formatCode="0.000%"/>
    <numFmt numFmtId="167" formatCode="0.0000"/>
  </numFmts>
  <fonts count="41" x14ac:knownFonts="1">
    <font>
      <sz val="11"/>
      <color theme="1"/>
      <name val="Calibri"/>
      <family val="2"/>
      <scheme val="minor"/>
    </font>
    <font>
      <b/>
      <sz val="12"/>
      <color theme="1"/>
      <name val="Arial Narrow"/>
      <family val="2"/>
    </font>
    <font>
      <sz val="12"/>
      <color theme="1"/>
      <name val="Arial Narrow"/>
      <family val="2"/>
    </font>
    <font>
      <i/>
      <sz val="12"/>
      <color theme="1"/>
      <name val="Arial Narrow"/>
      <family val="2"/>
    </font>
    <font>
      <sz val="8"/>
      <color indexed="81"/>
      <name val="Tahoma"/>
      <family val="2"/>
    </font>
    <font>
      <b/>
      <sz val="12"/>
      <color rgb="FFFF0000"/>
      <name val="Arial Narrow"/>
      <family val="2"/>
    </font>
    <font>
      <b/>
      <sz val="12"/>
      <name val="Arial Narrow"/>
      <family val="2"/>
    </font>
    <font>
      <sz val="12"/>
      <name val="Arial Narrow"/>
      <family val="2"/>
    </font>
    <font>
      <sz val="11"/>
      <color theme="1"/>
      <name val="Arial Narrow"/>
      <family val="2"/>
    </font>
    <font>
      <b/>
      <sz val="11"/>
      <color theme="1"/>
      <name val="Arial Narrow"/>
      <family val="2"/>
    </font>
    <font>
      <i/>
      <sz val="11"/>
      <color theme="1"/>
      <name val="Arial Narrow"/>
      <family val="2"/>
    </font>
    <font>
      <b/>
      <u/>
      <sz val="12"/>
      <color theme="1"/>
      <name val="Arial Narrow"/>
      <family val="2"/>
    </font>
    <font>
      <b/>
      <sz val="11"/>
      <color theme="1"/>
      <name val="Calibri"/>
      <family val="2"/>
      <scheme val="minor"/>
    </font>
    <font>
      <sz val="11"/>
      <color theme="1"/>
      <name val="Calibri"/>
      <family val="2"/>
      <scheme val="minor"/>
    </font>
    <font>
      <b/>
      <sz val="14"/>
      <name val="Arial Narrow"/>
      <family val="2"/>
    </font>
    <font>
      <i/>
      <sz val="12"/>
      <name val="Arial Narrow"/>
      <family val="2"/>
    </font>
    <font>
      <i/>
      <sz val="12"/>
      <color theme="1"/>
      <name val="Calibri"/>
      <family val="2"/>
      <scheme val="minor"/>
    </font>
    <font>
      <sz val="11"/>
      <name val="Arial Narrow"/>
      <family val="2"/>
    </font>
    <font>
      <b/>
      <i/>
      <sz val="11"/>
      <name val="Arial Narrow"/>
      <family val="2"/>
    </font>
    <font>
      <b/>
      <sz val="11"/>
      <name val="Arial Narrow"/>
      <family val="2"/>
    </font>
    <font>
      <i/>
      <sz val="11"/>
      <color theme="1"/>
      <name val="Calibri"/>
      <family val="2"/>
      <scheme val="minor"/>
    </font>
    <font>
      <u/>
      <sz val="12"/>
      <color theme="1"/>
      <name val="Arial Narrow"/>
      <family val="2"/>
    </font>
    <font>
      <sz val="10"/>
      <name val="Arial Narrow"/>
      <family val="2"/>
    </font>
    <font>
      <b/>
      <sz val="10"/>
      <name val="Arial Narrow"/>
      <family val="2"/>
    </font>
    <font>
      <sz val="8"/>
      <color rgb="FF000000"/>
      <name val="Calibri"/>
      <family val="2"/>
    </font>
    <font>
      <b/>
      <sz val="11"/>
      <color rgb="FF000000"/>
      <name val="Arial Narrow"/>
      <family val="2"/>
    </font>
    <font>
      <sz val="12"/>
      <color rgb="FF000000"/>
      <name val="Calibri"/>
      <family val="2"/>
    </font>
    <font>
      <b/>
      <sz val="12"/>
      <color rgb="FF000000"/>
      <name val="Arial Narrow"/>
      <family val="2"/>
    </font>
    <font>
      <b/>
      <sz val="14"/>
      <color theme="1"/>
      <name val="Arial Narrow"/>
      <family val="2"/>
    </font>
    <font>
      <b/>
      <sz val="16"/>
      <color theme="1"/>
      <name val="Arial Narrow"/>
      <family val="2"/>
    </font>
    <font>
      <b/>
      <i/>
      <sz val="12"/>
      <color theme="1"/>
      <name val="Arial Narrow"/>
      <family val="2"/>
    </font>
    <font>
      <sz val="9"/>
      <color indexed="81"/>
      <name val="Tahoma"/>
      <family val="2"/>
    </font>
    <font>
      <sz val="10"/>
      <color theme="1"/>
      <name val="Arial Narrow"/>
      <family val="2"/>
    </font>
    <font>
      <b/>
      <sz val="10"/>
      <color theme="1"/>
      <name val="Arial Narrow"/>
      <family val="2"/>
    </font>
    <font>
      <b/>
      <sz val="14"/>
      <color rgb="FFFF0000"/>
      <name val="Arial Narrow"/>
      <family val="2"/>
    </font>
    <font>
      <b/>
      <i/>
      <u/>
      <sz val="12"/>
      <color theme="1"/>
      <name val="Arial Narrow"/>
      <family val="2"/>
    </font>
    <font>
      <sz val="14"/>
      <color theme="1"/>
      <name val="Arial Narrow"/>
      <family val="2"/>
    </font>
    <font>
      <b/>
      <i/>
      <sz val="12"/>
      <name val="Arial Narrow"/>
      <family val="2"/>
    </font>
    <font>
      <sz val="12"/>
      <color theme="1"/>
      <name val="Calibri"/>
      <family val="2"/>
    </font>
    <font>
      <sz val="12"/>
      <color rgb="FFFF0000"/>
      <name val="Arial Narrow"/>
      <family val="2"/>
    </font>
    <font>
      <b/>
      <sz val="12"/>
      <color theme="1"/>
      <name val="Calibri"/>
      <family val="2"/>
    </font>
  </fonts>
  <fills count="15">
    <fill>
      <patternFill patternType="none"/>
    </fill>
    <fill>
      <patternFill patternType="gray125"/>
    </fill>
    <fill>
      <patternFill patternType="solid">
        <fgColor theme="5" tint="0.39997558519241921"/>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4" tint="0.59999389629810485"/>
        <bgColor indexed="64"/>
      </patternFill>
    </fill>
    <fill>
      <patternFill patternType="solid">
        <fgColor rgb="FFFF0000"/>
        <bgColor indexed="64"/>
      </patternFill>
    </fill>
    <fill>
      <patternFill patternType="solid">
        <fgColor theme="1"/>
        <bgColor indexed="64"/>
      </patternFill>
    </fill>
    <fill>
      <patternFill patternType="solid">
        <fgColor theme="0"/>
        <bgColor indexed="64"/>
      </patternFill>
    </fill>
    <fill>
      <patternFill patternType="solid">
        <fgColor theme="5" tint="0.59999389629810485"/>
        <bgColor indexed="64"/>
      </patternFill>
    </fill>
    <fill>
      <patternFill patternType="solid">
        <fgColor rgb="FFFFFF00"/>
        <bgColor indexed="64"/>
      </patternFill>
    </fill>
    <fill>
      <patternFill patternType="solid">
        <fgColor theme="2" tint="-9.9978637043366805E-2"/>
        <bgColor indexed="64"/>
      </patternFill>
    </fill>
    <fill>
      <patternFill patternType="solid">
        <fgColor rgb="FFF2F2F2"/>
        <bgColor indexed="64"/>
      </patternFill>
    </fill>
    <fill>
      <patternFill patternType="solid">
        <fgColor rgb="FFDDD9C4"/>
        <bgColor indexed="64"/>
      </patternFill>
    </fill>
  </fills>
  <borders count="51">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medium">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s>
  <cellStyleXfs count="6">
    <xf numFmtId="0" fontId="0" fillId="0" borderId="0"/>
    <xf numFmtId="0" fontId="13" fillId="0" borderId="0"/>
    <xf numFmtId="0" fontId="22" fillId="0" borderId="0"/>
    <xf numFmtId="0" fontId="13" fillId="0" borderId="0"/>
    <xf numFmtId="9" fontId="13" fillId="0" borderId="0" applyFont="0" applyFill="0" applyBorder="0" applyAlignment="0" applyProtection="0"/>
    <xf numFmtId="44" fontId="13" fillId="0" borderId="0" applyFont="0" applyFill="0" applyBorder="0" applyAlignment="0" applyProtection="0"/>
  </cellStyleXfs>
  <cellXfs count="681">
    <xf numFmtId="0" fontId="0" fillId="0" borderId="0" xfId="0"/>
    <xf numFmtId="0" fontId="2" fillId="0" borderId="0" xfId="0" applyFont="1"/>
    <xf numFmtId="0" fontId="2" fillId="0" borderId="0" xfId="0" applyFont="1" applyAlignment="1">
      <alignment horizontal="center"/>
    </xf>
    <xf numFmtId="0" fontId="2" fillId="0" borderId="1" xfId="0" applyFont="1" applyBorder="1"/>
    <xf numFmtId="0" fontId="3" fillId="0" borderId="0" xfId="0" applyFont="1" applyAlignment="1">
      <alignment horizontal="justify" wrapText="1"/>
    </xf>
    <xf numFmtId="0" fontId="2" fillId="0" borderId="6" xfId="0" applyFont="1" applyBorder="1"/>
    <xf numFmtId="0" fontId="1" fillId="0" borderId="6" xfId="0" applyFont="1" applyBorder="1"/>
    <xf numFmtId="0" fontId="1" fillId="0" borderId="0" xfId="0" applyFont="1" applyAlignment="1">
      <alignment vertical="center"/>
    </xf>
    <xf numFmtId="0" fontId="2" fillId="0" borderId="0" xfId="0" applyFont="1" applyAlignment="1">
      <alignment vertical="center"/>
    </xf>
    <xf numFmtId="0" fontId="1" fillId="0" borderId="0" xfId="0" applyFont="1"/>
    <xf numFmtId="164" fontId="2" fillId="0" borderId="6" xfId="0" applyNumberFormat="1" applyFont="1" applyBorder="1"/>
    <xf numFmtId="0" fontId="5" fillId="0" borderId="0" xfId="0" applyFont="1"/>
    <xf numFmtId="164" fontId="1" fillId="0" borderId="6" xfId="0" applyNumberFormat="1" applyFont="1" applyBorder="1"/>
    <xf numFmtId="1" fontId="2" fillId="0" borderId="0" xfId="0" applyNumberFormat="1" applyFont="1"/>
    <xf numFmtId="0" fontId="8" fillId="0" borderId="0" xfId="0" applyFont="1"/>
    <xf numFmtId="165" fontId="2" fillId="0" borderId="0" xfId="0" applyNumberFormat="1" applyFont="1" applyAlignment="1">
      <alignment horizontal="right"/>
    </xf>
    <xf numFmtId="165" fontId="1" fillId="0" borderId="6" xfId="0" applyNumberFormat="1" applyFont="1" applyBorder="1" applyAlignment="1">
      <alignment horizontal="right"/>
    </xf>
    <xf numFmtId="10" fontId="2" fillId="0" borderId="6" xfId="0" applyNumberFormat="1" applyFont="1" applyBorder="1" applyAlignment="1">
      <alignment horizontal="right"/>
    </xf>
    <xf numFmtId="10" fontId="1" fillId="0" borderId="6" xfId="0" applyNumberFormat="1" applyFont="1" applyBorder="1" applyAlignment="1">
      <alignment horizontal="right"/>
    </xf>
    <xf numFmtId="0" fontId="2" fillId="0" borderId="0" xfId="0" applyFont="1" applyAlignment="1">
      <alignment horizontal="left" indent="1"/>
    </xf>
    <xf numFmtId="0" fontId="1" fillId="0" borderId="6" xfId="0" applyFont="1" applyBorder="1" applyAlignment="1">
      <alignment vertical="center"/>
    </xf>
    <xf numFmtId="0" fontId="2" fillId="0" borderId="2" xfId="0" applyFont="1" applyBorder="1" applyAlignment="1">
      <alignment horizontal="left"/>
    </xf>
    <xf numFmtId="0" fontId="1" fillId="0" borderId="0" xfId="0" applyFont="1" applyAlignment="1">
      <alignment horizontal="right" vertical="center"/>
    </xf>
    <xf numFmtId="1" fontId="1" fillId="0" borderId="6" xfId="0" applyNumberFormat="1" applyFont="1" applyBorder="1" applyAlignment="1">
      <alignment horizontal="center"/>
    </xf>
    <xf numFmtId="14" fontId="2" fillId="0" borderId="4" xfId="0" applyNumberFormat="1" applyFont="1" applyBorder="1" applyAlignment="1">
      <alignment horizontal="left"/>
    </xf>
    <xf numFmtId="14" fontId="2" fillId="0" borderId="9" xfId="0" applyNumberFormat="1" applyFont="1" applyBorder="1" applyAlignment="1">
      <alignment horizontal="left"/>
    </xf>
    <xf numFmtId="0" fontId="2" fillId="0" borderId="9" xfId="0" applyFont="1" applyBorder="1" applyAlignment="1">
      <alignment horizontal="left"/>
    </xf>
    <xf numFmtId="0" fontId="1" fillId="2" borderId="6" xfId="0" applyFont="1" applyFill="1" applyBorder="1" applyAlignment="1" applyProtection="1">
      <alignment horizontal="center" vertical="center"/>
      <protection locked="0"/>
    </xf>
    <xf numFmtId="0" fontId="2" fillId="5" borderId="0" xfId="0" applyFont="1" applyFill="1" applyAlignment="1">
      <alignment horizontal="center" vertical="center"/>
    </xf>
    <xf numFmtId="0" fontId="1" fillId="5" borderId="0" xfId="0" applyFont="1" applyFill="1" applyAlignment="1">
      <alignment horizontal="center" vertical="center"/>
    </xf>
    <xf numFmtId="0" fontId="2" fillId="5" borderId="0" xfId="0" applyFont="1" applyFill="1"/>
    <xf numFmtId="0" fontId="2" fillId="5" borderId="0" xfId="0" applyFont="1" applyFill="1" applyAlignment="1">
      <alignment vertical="center"/>
    </xf>
    <xf numFmtId="0" fontId="7" fillId="2" borderId="6" xfId="0" applyFont="1" applyFill="1" applyBorder="1" applyAlignment="1" applyProtection="1">
      <alignment horizontal="center"/>
      <protection locked="0"/>
    </xf>
    <xf numFmtId="0" fontId="2" fillId="5" borderId="0" xfId="0" applyFont="1" applyFill="1" applyAlignment="1">
      <alignment horizontal="left"/>
    </xf>
    <xf numFmtId="0" fontId="2" fillId="4" borderId="6" xfId="0" applyFont="1" applyFill="1" applyBorder="1" applyProtection="1">
      <protection locked="0"/>
    </xf>
    <xf numFmtId="164" fontId="1" fillId="0" borderId="0" xfId="0" applyNumberFormat="1" applyFont="1"/>
    <xf numFmtId="0" fontId="1" fillId="0" borderId="9" xfId="0" applyFont="1" applyBorder="1"/>
    <xf numFmtId="164" fontId="1" fillId="0" borderId="9" xfId="0" applyNumberFormat="1" applyFont="1" applyBorder="1"/>
    <xf numFmtId="10" fontId="2" fillId="0" borderId="0" xfId="0" applyNumberFormat="1" applyFont="1"/>
    <xf numFmtId="165" fontId="2" fillId="3" borderId="6" xfId="0" applyNumberFormat="1" applyFont="1" applyFill="1" applyBorder="1" applyAlignment="1" applyProtection="1">
      <alignment horizontal="right"/>
      <protection locked="0"/>
    </xf>
    <xf numFmtId="0" fontId="8" fillId="5" borderId="0" xfId="0" applyFont="1" applyFill="1"/>
    <xf numFmtId="0" fontId="11" fillId="5" borderId="0" xfId="0" applyFont="1" applyFill="1"/>
    <xf numFmtId="10" fontId="2" fillId="0" borderId="11" xfId="0" applyNumberFormat="1" applyFont="1" applyBorder="1"/>
    <xf numFmtId="0" fontId="2" fillId="0" borderId="11" xfId="0" applyFont="1" applyBorder="1"/>
    <xf numFmtId="10" fontId="2" fillId="0" borderId="4" xfId="0" applyNumberFormat="1" applyFont="1" applyBorder="1"/>
    <xf numFmtId="9" fontId="2" fillId="0" borderId="4" xfId="0" applyNumberFormat="1" applyFont="1" applyBorder="1"/>
    <xf numFmtId="164" fontId="2" fillId="0" borderId="3" xfId="0" applyNumberFormat="1" applyFont="1" applyBorder="1"/>
    <xf numFmtId="0" fontId="2" fillId="0" borderId="12" xfId="0" applyFont="1" applyBorder="1"/>
    <xf numFmtId="0" fontId="2" fillId="5" borderId="5" xfId="0" applyFont="1" applyFill="1" applyBorder="1" applyAlignment="1">
      <alignment horizontal="center" vertical="center"/>
    </xf>
    <xf numFmtId="0" fontId="1" fillId="5" borderId="0" xfId="0" applyFont="1" applyFill="1"/>
    <xf numFmtId="0" fontId="2" fillId="7" borderId="0" xfId="0" applyFont="1" applyFill="1"/>
    <xf numFmtId="0" fontId="2" fillId="7" borderId="0" xfId="0" applyFont="1" applyFill="1" applyAlignment="1">
      <alignment vertical="center"/>
    </xf>
    <xf numFmtId="0" fontId="2" fillId="7" borderId="0" xfId="0" applyFont="1" applyFill="1" applyAlignment="1">
      <alignment horizontal="center"/>
    </xf>
    <xf numFmtId="1" fontId="1" fillId="0" borderId="0" xfId="0" applyNumberFormat="1" applyFont="1" applyAlignment="1">
      <alignment horizontal="center"/>
    </xf>
    <xf numFmtId="0" fontId="1" fillId="0" borderId="0" xfId="0" applyFont="1" applyAlignment="1">
      <alignment wrapText="1"/>
    </xf>
    <xf numFmtId="1" fontId="2" fillId="0" borderId="0" xfId="0" applyNumberFormat="1" applyFont="1" applyAlignment="1">
      <alignment vertical="center"/>
    </xf>
    <xf numFmtId="0" fontId="2" fillId="0" borderId="0" xfId="0" applyFont="1" applyAlignment="1">
      <alignment horizontal="right"/>
    </xf>
    <xf numFmtId="0" fontId="2" fillId="0" borderId="4" xfId="0" applyFont="1" applyBorder="1" applyAlignment="1">
      <alignment vertical="center" wrapText="1"/>
    </xf>
    <xf numFmtId="0" fontId="2" fillId="0" borderId="5" xfId="0" applyFont="1" applyBorder="1" applyAlignment="1">
      <alignment vertical="center" wrapText="1"/>
    </xf>
    <xf numFmtId="10" fontId="2" fillId="0" borderId="4" xfId="0" applyNumberFormat="1" applyFont="1" applyBorder="1" applyAlignment="1">
      <alignment vertical="center" wrapText="1"/>
    </xf>
    <xf numFmtId="9" fontId="2" fillId="0" borderId="4" xfId="0" applyNumberFormat="1" applyFont="1" applyBorder="1" applyAlignment="1">
      <alignment vertical="center" wrapText="1"/>
    </xf>
    <xf numFmtId="164" fontId="2" fillId="0" borderId="3" xfId="0" quotePrefix="1" applyNumberFormat="1" applyFont="1" applyBorder="1" applyAlignment="1">
      <alignment vertical="center" wrapText="1"/>
    </xf>
    <xf numFmtId="10" fontId="2" fillId="0" borderId="4" xfId="0" applyNumberFormat="1" applyFont="1" applyBorder="1" applyAlignment="1">
      <alignment horizontal="left" vertical="center" wrapText="1"/>
    </xf>
    <xf numFmtId="164" fontId="2" fillId="0" borderId="6" xfId="0" applyNumberFormat="1" applyFont="1" applyBorder="1" applyAlignment="1">
      <alignment horizontal="center"/>
    </xf>
    <xf numFmtId="0" fontId="1" fillId="5" borderId="0" xfId="0" applyFont="1" applyFill="1" applyAlignment="1">
      <alignment wrapText="1"/>
    </xf>
    <xf numFmtId="0" fontId="1" fillId="5" borderId="0" xfId="0" applyFont="1" applyFill="1" applyAlignment="1">
      <alignment horizontal="center" wrapText="1"/>
    </xf>
    <xf numFmtId="164" fontId="1" fillId="0" borderId="6" xfId="0" applyNumberFormat="1" applyFont="1" applyBorder="1" applyAlignment="1">
      <alignment horizontal="center"/>
    </xf>
    <xf numFmtId="0" fontId="3" fillId="0" borderId="0" xfId="0" applyFont="1" applyAlignment="1">
      <alignment vertical="center"/>
    </xf>
    <xf numFmtId="0" fontId="3" fillId="5" borderId="0" xfId="0" applyFont="1" applyFill="1" applyAlignment="1">
      <alignment vertical="center"/>
    </xf>
    <xf numFmtId="0" fontId="3" fillId="7" borderId="0" xfId="0" applyFont="1" applyFill="1" applyAlignment="1">
      <alignment vertical="center"/>
    </xf>
    <xf numFmtId="0" fontId="13" fillId="0" borderId="0" xfId="1" applyAlignment="1">
      <alignment vertical="top"/>
    </xf>
    <xf numFmtId="0" fontId="16" fillId="0" borderId="0" xfId="1" applyFont="1" applyAlignment="1">
      <alignment vertical="top"/>
    </xf>
    <xf numFmtId="0" fontId="8" fillId="0" borderId="0" xfId="1" applyFont="1" applyAlignment="1">
      <alignment vertical="top"/>
    </xf>
    <xf numFmtId="1" fontId="2" fillId="0" borderId="6" xfId="0" applyNumberFormat="1" applyFont="1" applyBorder="1"/>
    <xf numFmtId="0" fontId="11" fillId="5" borderId="0" xfId="0" applyFont="1" applyFill="1" applyAlignment="1">
      <alignment horizontal="center" vertical="center"/>
    </xf>
    <xf numFmtId="1" fontId="1" fillId="0" borderId="6" xfId="0" applyNumberFormat="1" applyFont="1" applyBorder="1" applyAlignment="1">
      <alignment vertical="center"/>
    </xf>
    <xf numFmtId="1" fontId="1" fillId="0" borderId="6" xfId="0" applyNumberFormat="1" applyFont="1" applyBorder="1"/>
    <xf numFmtId="0" fontId="1" fillId="2" borderId="6" xfId="0" applyFont="1" applyFill="1" applyBorder="1" applyAlignment="1">
      <alignment horizontal="center" vertical="center"/>
    </xf>
    <xf numFmtId="0" fontId="2" fillId="4" borderId="6" xfId="0" applyFont="1" applyFill="1" applyBorder="1"/>
    <xf numFmtId="1" fontId="1" fillId="0" borderId="0" xfId="0" applyNumberFormat="1" applyFont="1"/>
    <xf numFmtId="0" fontId="2" fillId="0" borderId="0" xfId="0" applyFont="1" applyAlignment="1">
      <alignment horizontal="justify" vertical="center" wrapText="1"/>
    </xf>
    <xf numFmtId="0" fontId="2" fillId="5" borderId="6" xfId="0" applyFont="1" applyFill="1" applyBorder="1" applyAlignment="1">
      <alignment horizontal="center" vertical="center"/>
    </xf>
    <xf numFmtId="0" fontId="7" fillId="2" borderId="6" xfId="0" applyFont="1" applyFill="1" applyBorder="1" applyAlignment="1">
      <alignment horizontal="center"/>
    </xf>
    <xf numFmtId="165" fontId="2" fillId="3" borderId="6" xfId="0" applyNumberFormat="1" applyFont="1" applyFill="1" applyBorder="1" applyAlignment="1">
      <alignment horizontal="right"/>
    </xf>
    <xf numFmtId="14" fontId="2" fillId="0" borderId="0" xfId="0" applyNumberFormat="1" applyFont="1" applyAlignment="1">
      <alignment horizontal="left"/>
    </xf>
    <xf numFmtId="0" fontId="1" fillId="5" borderId="0" xfId="0" applyFont="1" applyFill="1" applyAlignment="1">
      <alignment horizontal="right"/>
    </xf>
    <xf numFmtId="0" fontId="2" fillId="0" borderId="0" xfId="0" applyFont="1" applyAlignment="1">
      <alignment horizontal="left"/>
    </xf>
    <xf numFmtId="0" fontId="1" fillId="0" borderId="0" xfId="0" applyFont="1" applyAlignment="1">
      <alignment horizontal="center" wrapText="1"/>
    </xf>
    <xf numFmtId="0" fontId="26" fillId="0" borderId="0" xfId="0" applyFont="1" applyAlignment="1">
      <alignment vertical="center" wrapText="1"/>
    </xf>
    <xf numFmtId="0" fontId="27" fillId="0" borderId="0" xfId="0" applyFont="1" applyAlignment="1">
      <alignment vertical="center" wrapText="1"/>
    </xf>
    <xf numFmtId="0" fontId="24" fillId="0" borderId="0" xfId="0" applyFont="1" applyAlignment="1">
      <alignment vertical="center" wrapText="1"/>
    </xf>
    <xf numFmtId="0" fontId="25" fillId="0" borderId="0" xfId="0" applyFont="1" applyAlignment="1">
      <alignment vertical="center" wrapText="1"/>
    </xf>
    <xf numFmtId="0" fontId="2" fillId="4" borderId="2" xfId="0" applyFont="1" applyFill="1" applyBorder="1" applyAlignment="1" applyProtection="1">
      <alignment horizontal="left"/>
      <protection locked="0"/>
    </xf>
    <xf numFmtId="0" fontId="2" fillId="4" borderId="2" xfId="0" applyFont="1" applyFill="1" applyBorder="1" applyAlignment="1" applyProtection="1">
      <alignment horizontal="right"/>
      <protection locked="0"/>
    </xf>
    <xf numFmtId="0" fontId="2" fillId="3" borderId="6" xfId="0" applyFont="1" applyFill="1" applyBorder="1"/>
    <xf numFmtId="0" fontId="2" fillId="0" borderId="6" xfId="0" applyFont="1" applyBorder="1" applyAlignment="1">
      <alignment horizontal="center" vertical="center"/>
    </xf>
    <xf numFmtId="1" fontId="2" fillId="0" borderId="6" xfId="0" applyNumberFormat="1" applyFont="1" applyBorder="1" applyAlignment="1">
      <alignment vertical="center"/>
    </xf>
    <xf numFmtId="0" fontId="8" fillId="0" borderId="0" xfId="1" applyFont="1" applyAlignment="1">
      <alignment vertical="top" wrapText="1"/>
    </xf>
    <xf numFmtId="0" fontId="19" fillId="0" borderId="0" xfId="1" quotePrefix="1" applyFont="1" applyAlignment="1">
      <alignment horizontal="left" vertical="top"/>
    </xf>
    <xf numFmtId="0" fontId="17" fillId="0" borderId="0" xfId="1" applyFont="1" applyAlignment="1">
      <alignment vertical="top"/>
    </xf>
    <xf numFmtId="0" fontId="19" fillId="0" borderId="0" xfId="1" applyFont="1" applyAlignment="1">
      <alignment vertical="top"/>
    </xf>
    <xf numFmtId="0" fontId="17" fillId="0" borderId="0" xfId="1" quotePrefix="1" applyFont="1" applyAlignment="1">
      <alignment vertical="top"/>
    </xf>
    <xf numFmtId="0" fontId="10" fillId="0" borderId="0" xfId="1" applyFont="1" applyAlignment="1">
      <alignment vertical="top"/>
    </xf>
    <xf numFmtId="0" fontId="9" fillId="0" borderId="0" xfId="1" applyFont="1" applyAlignment="1">
      <alignment vertical="top"/>
    </xf>
    <xf numFmtId="0" fontId="17" fillId="0" borderId="0" xfId="1" quotePrefix="1" applyFont="1" applyAlignment="1">
      <alignment horizontal="left" vertical="top"/>
    </xf>
    <xf numFmtId="0" fontId="17" fillId="3" borderId="0" xfId="1" applyFont="1" applyFill="1" applyAlignment="1">
      <alignment horizontal="justify" vertical="top" wrapText="1"/>
    </xf>
    <xf numFmtId="0" fontId="17" fillId="2" borderId="0" xfId="1" applyFont="1" applyFill="1" applyAlignment="1">
      <alignment horizontal="justify" vertical="top" wrapText="1"/>
    </xf>
    <xf numFmtId="0" fontId="8" fillId="0" borderId="0" xfId="1" applyFont="1" applyAlignment="1">
      <alignment horizontal="left" vertical="top"/>
    </xf>
    <xf numFmtId="0" fontId="13" fillId="0" borderId="0" xfId="1" applyAlignment="1">
      <alignment horizontal="left" vertical="top"/>
    </xf>
    <xf numFmtId="0" fontId="7" fillId="0" borderId="0" xfId="1" quotePrefix="1" applyFont="1" applyAlignment="1">
      <alignment horizontal="left" vertical="top"/>
    </xf>
    <xf numFmtId="0" fontId="28" fillId="0" borderId="0" xfId="0" applyFont="1"/>
    <xf numFmtId="164" fontId="2" fillId="0" borderId="4" xfId="0" applyNumberFormat="1" applyFont="1" applyBorder="1"/>
    <xf numFmtId="0" fontId="1" fillId="0" borderId="16" xfId="0" applyFont="1" applyBorder="1" applyAlignment="1">
      <alignment horizontal="center"/>
    </xf>
    <xf numFmtId="0" fontId="1" fillId="9" borderId="0" xfId="0" applyFont="1" applyFill="1" applyAlignment="1">
      <alignment horizontal="center" vertical="center"/>
    </xf>
    <xf numFmtId="0" fontId="1" fillId="8" borderId="6" xfId="0" applyFont="1" applyFill="1" applyBorder="1" applyAlignment="1">
      <alignment vertical="center"/>
    </xf>
    <xf numFmtId="0" fontId="2" fillId="8" borderId="6" xfId="0" applyFont="1" applyFill="1" applyBorder="1"/>
    <xf numFmtId="1" fontId="1" fillId="9" borderId="6" xfId="0" applyNumberFormat="1" applyFont="1" applyFill="1" applyBorder="1" applyAlignment="1">
      <alignment vertical="center"/>
    </xf>
    <xf numFmtId="1" fontId="2" fillId="9" borderId="6" xfId="0" applyNumberFormat="1" applyFont="1" applyFill="1" applyBorder="1" applyAlignment="1">
      <alignment vertical="center"/>
    </xf>
    <xf numFmtId="0" fontId="2" fillId="9" borderId="6" xfId="0" applyFont="1" applyFill="1" applyBorder="1" applyAlignment="1">
      <alignment horizontal="center"/>
    </xf>
    <xf numFmtId="0" fontId="1" fillId="9" borderId="6" xfId="0" applyFont="1" applyFill="1" applyBorder="1" applyAlignment="1">
      <alignment horizontal="center"/>
    </xf>
    <xf numFmtId="1" fontId="2" fillId="9" borderId="6" xfId="0" applyNumberFormat="1" applyFont="1" applyFill="1" applyBorder="1"/>
    <xf numFmtId="0" fontId="1" fillId="0" borderId="1" xfId="0" applyFont="1" applyBorder="1" applyAlignment="1">
      <alignment vertical="center"/>
    </xf>
    <xf numFmtId="0" fontId="1" fillId="0" borderId="18" xfId="0" applyFont="1" applyBorder="1" applyAlignment="1">
      <alignment vertical="center"/>
    </xf>
    <xf numFmtId="0" fontId="2" fillId="0" borderId="0" xfId="0" applyFont="1" applyAlignment="1">
      <alignment horizontal="right" vertical="top"/>
    </xf>
    <xf numFmtId="0" fontId="2" fillId="0" borderId="2" xfId="0" applyFont="1" applyBorder="1" applyAlignment="1">
      <alignment horizontal="left" vertical="top"/>
    </xf>
    <xf numFmtId="0" fontId="2" fillId="0" borderId="9" xfId="0" applyFont="1" applyBorder="1" applyAlignment="1">
      <alignment horizontal="left" vertical="top"/>
    </xf>
    <xf numFmtId="0" fontId="1" fillId="0" borderId="1" xfId="0" applyFont="1" applyBorder="1" applyAlignment="1">
      <alignment vertical="top"/>
    </xf>
    <xf numFmtId="0" fontId="2" fillId="0" borderId="0" xfId="0" applyFont="1" applyAlignment="1">
      <alignment vertical="top"/>
    </xf>
    <xf numFmtId="0" fontId="1" fillId="0" borderId="0" xfId="0" applyFont="1" applyAlignment="1">
      <alignment vertical="top"/>
    </xf>
    <xf numFmtId="0" fontId="1" fillId="0" borderId="0" xfId="0" applyFont="1" applyAlignment="1">
      <alignment horizontal="left" indent="1"/>
    </xf>
    <xf numFmtId="0" fontId="2" fillId="0" borderId="1" xfId="0" applyFont="1" applyBorder="1" applyAlignment="1">
      <alignment vertical="center"/>
    </xf>
    <xf numFmtId="0" fontId="2" fillId="11" borderId="0" xfId="0" applyFont="1" applyFill="1" applyAlignment="1">
      <alignment horizontal="left" vertical="center" wrapText="1"/>
    </xf>
    <xf numFmtId="0" fontId="17" fillId="2" borderId="6" xfId="1" applyFont="1" applyFill="1" applyBorder="1" applyAlignment="1">
      <alignment horizontal="center" vertical="center" wrapText="1"/>
    </xf>
    <xf numFmtId="0" fontId="23" fillId="0" borderId="0" xfId="2" applyFont="1" applyAlignment="1">
      <alignment vertical="top" wrapText="1"/>
    </xf>
    <xf numFmtId="0" fontId="2" fillId="5" borderId="0" xfId="0" applyFont="1" applyFill="1" applyAlignment="1">
      <alignment horizontal="center" wrapText="1"/>
    </xf>
    <xf numFmtId="0" fontId="2" fillId="7" borderId="0" xfId="0" applyFont="1" applyFill="1" applyAlignment="1">
      <alignment wrapText="1"/>
    </xf>
    <xf numFmtId="10" fontId="2" fillId="0" borderId="3" xfId="0" applyNumberFormat="1" applyFont="1" applyBorder="1" applyAlignment="1">
      <alignment vertical="center"/>
    </xf>
    <xf numFmtId="10" fontId="2" fillId="0" borderId="3" xfId="0" applyNumberFormat="1" applyFont="1" applyBorder="1" applyAlignment="1">
      <alignment horizontal="left" vertical="center"/>
    </xf>
    <xf numFmtId="0" fontId="2" fillId="0" borderId="0" xfId="0" applyFont="1" applyAlignment="1">
      <alignment horizontal="left" indent="4"/>
    </xf>
    <xf numFmtId="0" fontId="7" fillId="0" borderId="6" xfId="0" applyFont="1" applyBorder="1" applyAlignment="1">
      <alignment horizontal="center"/>
    </xf>
    <xf numFmtId="0" fontId="2" fillId="0" borderId="0" xfId="0" applyFont="1" applyAlignment="1">
      <alignment horizontal="justify" vertical="top" wrapText="1"/>
    </xf>
    <xf numFmtId="0" fontId="11" fillId="5" borderId="0" xfId="0" applyFont="1" applyFill="1" applyAlignment="1">
      <alignment horizontal="left"/>
    </xf>
    <xf numFmtId="0" fontId="11" fillId="5" borderId="0" xfId="0" quotePrefix="1" applyFont="1" applyFill="1"/>
    <xf numFmtId="0" fontId="2" fillId="5" borderId="0" xfId="0" applyFont="1" applyFill="1" applyAlignment="1">
      <alignment horizontal="center" vertical="center" wrapText="1"/>
    </xf>
    <xf numFmtId="0" fontId="11" fillId="0" borderId="0" xfId="0" applyFont="1" applyAlignment="1">
      <alignment horizontal="justify" vertical="top" wrapText="1"/>
    </xf>
    <xf numFmtId="0" fontId="2" fillId="0" borderId="0" xfId="0" applyFont="1" applyAlignment="1">
      <alignment horizontal="justify" vertical="top"/>
    </xf>
    <xf numFmtId="0" fontId="2" fillId="5" borderId="0" xfId="0" applyFont="1" applyFill="1" applyAlignment="1">
      <alignment horizontal="justify" vertical="top"/>
    </xf>
    <xf numFmtId="0" fontId="2" fillId="7" borderId="0" xfId="0" applyFont="1" applyFill="1" applyAlignment="1">
      <alignment horizontal="justify" vertical="top"/>
    </xf>
    <xf numFmtId="0" fontId="2" fillId="6" borderId="6" xfId="0" applyFont="1" applyFill="1" applyBorder="1" applyAlignment="1" applyProtection="1">
      <alignment horizontal="left"/>
      <protection locked="0"/>
    </xf>
    <xf numFmtId="0" fontId="2" fillId="5" borderId="0" xfId="0" applyFont="1" applyFill="1" applyAlignment="1">
      <alignment horizontal="centerContinuous"/>
    </xf>
    <xf numFmtId="0" fontId="11" fillId="5" borderId="0" xfId="0" applyFont="1" applyFill="1" applyAlignment="1">
      <alignment horizontal="centerContinuous"/>
    </xf>
    <xf numFmtId="0" fontId="2" fillId="2" borderId="0" xfId="0" applyFont="1" applyFill="1" applyProtection="1">
      <protection locked="0"/>
    </xf>
    <xf numFmtId="9" fontId="2" fillId="5" borderId="0" xfId="0" applyNumberFormat="1" applyFont="1" applyFill="1" applyAlignment="1">
      <alignment horizontal="center"/>
    </xf>
    <xf numFmtId="0" fontId="2" fillId="0" borderId="3" xfId="0" applyFont="1" applyBorder="1" applyAlignment="1">
      <alignment horizontal="justify" vertical="top" wrapText="1"/>
    </xf>
    <xf numFmtId="0" fontId="2" fillId="0" borderId="6" xfId="0" applyFont="1" applyBorder="1" applyAlignment="1">
      <alignment horizontal="center"/>
    </xf>
    <xf numFmtId="0" fontId="2" fillId="0" borderId="0" xfId="0" applyFont="1" applyAlignment="1">
      <alignment vertical="top" wrapText="1"/>
    </xf>
    <xf numFmtId="0" fontId="2" fillId="3" borderId="6" xfId="0" applyFont="1" applyFill="1" applyBorder="1" applyAlignment="1">
      <alignment horizontal="center"/>
    </xf>
    <xf numFmtId="0" fontId="21" fillId="5" borderId="0" xfId="0" applyFont="1" applyFill="1" applyAlignment="1">
      <alignment horizontal="center" vertical="center"/>
    </xf>
    <xf numFmtId="0" fontId="2" fillId="3" borderId="6" xfId="0" applyFont="1" applyFill="1" applyBorder="1" applyProtection="1">
      <protection locked="0"/>
    </xf>
    <xf numFmtId="1" fontId="2" fillId="0" borderId="0" xfId="0" applyNumberFormat="1" applyFont="1" applyAlignment="1">
      <alignment horizontal="right"/>
    </xf>
    <xf numFmtId="0" fontId="1" fillId="0" borderId="0" xfId="0" applyFont="1" applyAlignment="1">
      <alignment vertical="center" wrapText="1"/>
    </xf>
    <xf numFmtId="1" fontId="2" fillId="0" borderId="6" xfId="0" applyNumberFormat="1" applyFont="1" applyBorder="1" applyAlignment="1">
      <alignment horizontal="right" vertical="center"/>
    </xf>
    <xf numFmtId="0" fontId="2" fillId="0" borderId="6" xfId="0" applyFont="1" applyBorder="1" applyAlignment="1">
      <alignment vertical="center"/>
    </xf>
    <xf numFmtId="0" fontId="2" fillId="0" borderId="11" xfId="0" applyFont="1" applyBorder="1" applyAlignment="1">
      <alignment horizontal="left"/>
    </xf>
    <xf numFmtId="1" fontId="2" fillId="0" borderId="6" xfId="0" applyNumberFormat="1" applyFont="1" applyBorder="1" applyAlignment="1">
      <alignment horizontal="right"/>
    </xf>
    <xf numFmtId="0" fontId="2" fillId="0" borderId="0" xfId="0" quotePrefix="1" applyFont="1"/>
    <xf numFmtId="10" fontId="2" fillId="0" borderId="3" xfId="0" quotePrefix="1" applyNumberFormat="1" applyFont="1" applyBorder="1" applyAlignment="1">
      <alignment horizontal="left" vertical="center" wrapText="1"/>
    </xf>
    <xf numFmtId="0" fontId="1" fillId="0" borderId="6" xfId="0" applyFont="1" applyBorder="1" applyAlignment="1">
      <alignment horizontal="center" vertical="center"/>
    </xf>
    <xf numFmtId="0" fontId="1" fillId="0" borderId="0" xfId="0" applyFont="1" applyAlignment="1">
      <alignment horizontal="right"/>
    </xf>
    <xf numFmtId="0" fontId="2" fillId="0" borderId="0" xfId="0" applyFont="1" applyAlignment="1">
      <alignment horizontal="center" wrapText="1"/>
    </xf>
    <xf numFmtId="0" fontId="6" fillId="0" borderId="0" xfId="2" applyFont="1" applyAlignment="1">
      <alignment vertical="top" wrapText="1"/>
    </xf>
    <xf numFmtId="0" fontId="2" fillId="0" borderId="0" xfId="0" applyFont="1" applyAlignment="1">
      <alignment horizontal="left" vertical="center"/>
    </xf>
    <xf numFmtId="0" fontId="2" fillId="0" borderId="4" xfId="0" applyFont="1" applyBorder="1"/>
    <xf numFmtId="0" fontId="2" fillId="0" borderId="5" xfId="0" applyFont="1" applyBorder="1"/>
    <xf numFmtId="0" fontId="2" fillId="0" borderId="0" xfId="0" applyFont="1" applyAlignment="1">
      <alignment vertical="center" wrapText="1"/>
    </xf>
    <xf numFmtId="0" fontId="1" fillId="0" borderId="0" xfId="0" applyFont="1" applyAlignment="1">
      <alignment horizontal="center" vertical="center"/>
    </xf>
    <xf numFmtId="0" fontId="1" fillId="0" borderId="0" xfId="0" applyFont="1" applyAlignment="1">
      <alignment horizontal="left" vertical="center"/>
    </xf>
    <xf numFmtId="0" fontId="2" fillId="0" borderId="0" xfId="0" applyFont="1" applyAlignment="1">
      <alignment wrapText="1"/>
    </xf>
    <xf numFmtId="0" fontId="3" fillId="0" borderId="0" xfId="0" applyFont="1"/>
    <xf numFmtId="0" fontId="1" fillId="0" borderId="5" xfId="0" applyFont="1" applyBorder="1" applyAlignment="1">
      <alignment horizontal="center" vertical="center"/>
    </xf>
    <xf numFmtId="10" fontId="2" fillId="0" borderId="0" xfId="4" applyNumberFormat="1" applyFont="1" applyFill="1" applyBorder="1" applyAlignment="1" applyProtection="1">
      <alignment horizontal="left" wrapText="1"/>
    </xf>
    <xf numFmtId="165" fontId="2" fillId="0" borderId="6" xfId="0" applyNumberFormat="1" applyFont="1" applyBorder="1" applyAlignment="1">
      <alignment horizontal="right"/>
    </xf>
    <xf numFmtId="0" fontId="2" fillId="0" borderId="4" xfId="0" applyFont="1" applyBorder="1" applyAlignment="1">
      <alignment horizontal="left"/>
    </xf>
    <xf numFmtId="0" fontId="2" fillId="0" borderId="0" xfId="0" applyFont="1" applyAlignment="1">
      <alignment horizontal="left" wrapText="1"/>
    </xf>
    <xf numFmtId="0" fontId="1" fillId="0" borderId="0" xfId="0" applyFont="1" applyAlignment="1">
      <alignment horizontal="left"/>
    </xf>
    <xf numFmtId="0" fontId="2" fillId="5" borderId="0" xfId="0" applyFont="1" applyFill="1" applyAlignment="1">
      <alignment horizontal="center"/>
    </xf>
    <xf numFmtId="0" fontId="2" fillId="5" borderId="6" xfId="0" applyFont="1" applyFill="1" applyBorder="1" applyAlignment="1">
      <alignment horizontal="center"/>
    </xf>
    <xf numFmtId="0" fontId="1" fillId="0" borderId="3" xfId="0" applyFont="1" applyBorder="1" applyAlignment="1">
      <alignment horizontal="center" vertical="center" wrapText="1"/>
    </xf>
    <xf numFmtId="0" fontId="30" fillId="0" borderId="0" xfId="0" applyFont="1" applyAlignment="1">
      <alignment horizontal="left" vertical="center"/>
    </xf>
    <xf numFmtId="0" fontId="2" fillId="0" borderId="17" xfId="0" applyFont="1" applyBorder="1" applyAlignment="1">
      <alignment vertical="center" wrapText="1"/>
    </xf>
    <xf numFmtId="0" fontId="2" fillId="4" borderId="2" xfId="0" applyFont="1" applyFill="1" applyBorder="1" applyAlignment="1">
      <alignment horizontal="left"/>
    </xf>
    <xf numFmtId="0" fontId="0" fillId="0" borderId="6" xfId="0" applyBorder="1" applyAlignment="1">
      <alignment horizontal="center" vertical="center"/>
    </xf>
    <xf numFmtId="49" fontId="2" fillId="0" borderId="5" xfId="0" applyNumberFormat="1" applyFont="1" applyBorder="1" applyAlignment="1">
      <alignment vertical="top" wrapText="1"/>
    </xf>
    <xf numFmtId="0" fontId="17" fillId="2" borderId="6" xfId="1" applyFont="1" applyFill="1" applyBorder="1" applyAlignment="1" applyProtection="1">
      <alignment horizontal="center" vertical="center" wrapText="1"/>
      <protection locked="0"/>
    </xf>
    <xf numFmtId="0" fontId="15" fillId="9" borderId="0" xfId="0" applyFont="1" applyFill="1" applyAlignment="1">
      <alignment horizontal="left" vertical="center"/>
    </xf>
    <xf numFmtId="2" fontId="2" fillId="9" borderId="0" xfId="0" applyNumberFormat="1" applyFont="1" applyFill="1"/>
    <xf numFmtId="2" fontId="2" fillId="5" borderId="0" xfId="0" quotePrefix="1" applyNumberFormat="1" applyFont="1" applyFill="1"/>
    <xf numFmtId="2" fontId="2" fillId="5" borderId="0" xfId="0" applyNumberFormat="1" applyFont="1" applyFill="1"/>
    <xf numFmtId="0" fontId="1" fillId="5" borderId="0" xfId="0" applyFont="1" applyFill="1" applyAlignment="1">
      <alignment horizontal="center"/>
    </xf>
    <xf numFmtId="0" fontId="2" fillId="0" borderId="21" xfId="0" applyFont="1" applyBorder="1"/>
    <xf numFmtId="0" fontId="2" fillId="0" borderId="22" xfId="0" applyFont="1" applyBorder="1"/>
    <xf numFmtId="2" fontId="2" fillId="0" borderId="0" xfId="0" applyNumberFormat="1" applyFont="1" applyAlignment="1">
      <alignment horizontal="left"/>
    </xf>
    <xf numFmtId="0" fontId="1" fillId="0" borderId="22" xfId="0" applyFont="1" applyBorder="1"/>
    <xf numFmtId="0" fontId="2" fillId="0" borderId="24" xfId="0" applyFont="1" applyBorder="1"/>
    <xf numFmtId="0" fontId="2" fillId="0" borderId="25" xfId="0" applyFont="1" applyBorder="1"/>
    <xf numFmtId="0" fontId="2" fillId="3" borderId="6" xfId="0" applyFont="1" applyFill="1" applyBorder="1" applyAlignment="1" applyProtection="1">
      <alignment horizontal="center"/>
      <protection locked="0"/>
    </xf>
    <xf numFmtId="0" fontId="15" fillId="0" borderId="0" xfId="0" applyFont="1" applyAlignment="1">
      <alignment horizontal="left" vertical="center"/>
    </xf>
    <xf numFmtId="0" fontId="32" fillId="0" borderId="0" xfId="0" applyFont="1"/>
    <xf numFmtId="0" fontId="33" fillId="0" borderId="0" xfId="0" applyFont="1" applyAlignment="1">
      <alignment horizontal="right" vertical="center"/>
    </xf>
    <xf numFmtId="165" fontId="2" fillId="0" borderId="6" xfId="0" applyNumberFormat="1" applyFont="1" applyBorder="1"/>
    <xf numFmtId="165" fontId="2" fillId="3" borderId="6" xfId="5" applyNumberFormat="1" applyFont="1" applyFill="1" applyBorder="1" applyAlignment="1" applyProtection="1">
      <alignment vertical="center"/>
    </xf>
    <xf numFmtId="165" fontId="2" fillId="3" borderId="6" xfId="0" applyNumberFormat="1" applyFont="1" applyFill="1" applyBorder="1" applyAlignment="1">
      <alignment vertical="center"/>
    </xf>
    <xf numFmtId="9" fontId="2" fillId="0" borderId="6" xfId="4" applyFont="1" applyFill="1" applyBorder="1" applyAlignment="1" applyProtection="1">
      <alignment vertical="center"/>
    </xf>
    <xf numFmtId="9" fontId="2" fillId="0" borderId="6" xfId="4" applyFont="1" applyBorder="1" applyAlignment="1" applyProtection="1"/>
    <xf numFmtId="0" fontId="2" fillId="0" borderId="0" xfId="0" applyFont="1" applyAlignment="1">
      <alignment horizontal="left" vertical="top"/>
    </xf>
    <xf numFmtId="0" fontId="23" fillId="0" borderId="0" xfId="0" applyFont="1" applyAlignment="1">
      <alignment horizontal="right" vertical="center"/>
    </xf>
    <xf numFmtId="0" fontId="23" fillId="0" borderId="6" xfId="0" applyFont="1" applyBorder="1" applyAlignment="1">
      <alignment horizontal="center" vertical="center"/>
    </xf>
    <xf numFmtId="0" fontId="22" fillId="3" borderId="6" xfId="0" applyFont="1" applyFill="1" applyBorder="1" applyAlignment="1">
      <alignment vertical="center"/>
    </xf>
    <xf numFmtId="165" fontId="22" fillId="0" borderId="6" xfId="5" applyNumberFormat="1" applyFont="1" applyBorder="1" applyAlignment="1" applyProtection="1">
      <alignment vertical="center"/>
    </xf>
    <xf numFmtId="165" fontId="22" fillId="8" borderId="6" xfId="5" applyNumberFormat="1" applyFont="1" applyFill="1" applyBorder="1" applyAlignment="1" applyProtection="1">
      <alignment vertical="center"/>
    </xf>
    <xf numFmtId="0" fontId="17" fillId="0" borderId="0" xfId="1" applyFont="1" applyAlignment="1">
      <alignment horizontal="center" vertical="center" wrapText="1"/>
    </xf>
    <xf numFmtId="0" fontId="22" fillId="3" borderId="6" xfId="0" applyFont="1" applyFill="1" applyBorder="1" applyAlignment="1" applyProtection="1">
      <alignment vertical="center"/>
      <protection locked="0"/>
    </xf>
    <xf numFmtId="165" fontId="2" fillId="3" borderId="6" xfId="5" applyNumberFormat="1" applyFont="1" applyFill="1" applyBorder="1" applyAlignment="1" applyProtection="1">
      <alignment vertical="center"/>
      <protection locked="0"/>
    </xf>
    <xf numFmtId="165" fontId="2" fillId="3" borderId="6" xfId="0" applyNumberFormat="1" applyFont="1" applyFill="1" applyBorder="1" applyAlignment="1" applyProtection="1">
      <alignment vertical="center"/>
      <protection locked="0"/>
    </xf>
    <xf numFmtId="0" fontId="2" fillId="0" borderId="6" xfId="0" applyFont="1" applyBorder="1" applyAlignment="1">
      <alignment horizontal="center" vertical="top" wrapText="1"/>
    </xf>
    <xf numFmtId="0" fontId="1" fillId="0" borderId="6" xfId="0" applyFont="1" applyBorder="1" applyAlignment="1">
      <alignment horizontal="center" vertical="top" wrapText="1"/>
    </xf>
    <xf numFmtId="0" fontId="2" fillId="0" borderId="0" xfId="0" applyFont="1" applyAlignment="1">
      <alignment horizontal="center" vertical="top" wrapText="1"/>
    </xf>
    <xf numFmtId="0" fontId="1" fillId="0" borderId="0" xfId="0" applyFont="1" applyAlignment="1">
      <alignment horizontal="left" vertical="top"/>
    </xf>
    <xf numFmtId="0" fontId="23" fillId="9" borderId="6" xfId="0" applyFont="1" applyFill="1" applyBorder="1" applyAlignment="1">
      <alignment vertical="center"/>
    </xf>
    <xf numFmtId="0" fontId="2" fillId="0" borderId="0" xfId="0" applyFont="1" applyProtection="1">
      <protection locked="0"/>
    </xf>
    <xf numFmtId="0" fontId="1" fillId="0" borderId="0" xfId="0" applyFont="1" applyAlignment="1">
      <alignment horizontal="center"/>
    </xf>
    <xf numFmtId="10" fontId="2" fillId="0" borderId="0" xfId="4" applyNumberFormat="1" applyFont="1" applyAlignment="1" applyProtection="1">
      <alignment horizontal="left" wrapText="1"/>
    </xf>
    <xf numFmtId="10" fontId="2" fillId="0" borderId="4" xfId="0" quotePrefix="1" applyNumberFormat="1" applyFont="1" applyBorder="1" applyAlignment="1">
      <alignment horizontal="left" vertical="center" wrapText="1"/>
    </xf>
    <xf numFmtId="0" fontId="0" fillId="0" borderId="0" xfId="0" applyAlignment="1">
      <alignment horizontal="left"/>
    </xf>
    <xf numFmtId="14" fontId="0" fillId="0" borderId="0" xfId="0" applyNumberFormat="1" applyAlignment="1">
      <alignment horizontal="left"/>
    </xf>
    <xf numFmtId="0" fontId="20" fillId="0" borderId="0" xfId="0" applyFont="1"/>
    <xf numFmtId="0" fontId="0" fillId="0" borderId="0" xfId="0" applyAlignment="1">
      <alignment wrapText="1"/>
    </xf>
    <xf numFmtId="0" fontId="2" fillId="5" borderId="3" xfId="0" applyFont="1" applyFill="1" applyBorder="1" applyAlignment="1">
      <alignment horizontal="center" vertical="center"/>
    </xf>
    <xf numFmtId="0" fontId="2" fillId="5" borderId="0" xfId="0" applyFont="1" applyFill="1" applyAlignment="1">
      <alignment horizontal="left" vertical="top"/>
    </xf>
    <xf numFmtId="0" fontId="2" fillId="7" borderId="0" xfId="0" applyFont="1" applyFill="1" applyAlignment="1">
      <alignment horizontal="left" vertical="top"/>
    </xf>
    <xf numFmtId="0" fontId="1" fillId="11" borderId="0" xfId="0" applyFont="1" applyFill="1"/>
    <xf numFmtId="0" fontId="36" fillId="5" borderId="0" xfId="0" applyFont="1" applyFill="1"/>
    <xf numFmtId="0" fontId="36" fillId="7" borderId="0" xfId="0" applyFont="1" applyFill="1"/>
    <xf numFmtId="0" fontId="2" fillId="0" borderId="0" xfId="0" applyFont="1" applyAlignment="1">
      <alignment horizontal="right" vertical="center"/>
    </xf>
    <xf numFmtId="0" fontId="1" fillId="0" borderId="21" xfId="0" applyFont="1" applyBorder="1" applyAlignment="1">
      <alignment horizontal="center"/>
    </xf>
    <xf numFmtId="0" fontId="11" fillId="5" borderId="0" xfId="0" applyFont="1" applyFill="1" applyAlignment="1">
      <alignment horizontal="center" vertical="center" wrapText="1"/>
    </xf>
    <xf numFmtId="0" fontId="1" fillId="0" borderId="39" xfId="0" applyFont="1" applyBorder="1" applyAlignment="1">
      <alignment horizontal="center" vertical="center" wrapText="1"/>
    </xf>
    <xf numFmtId="0" fontId="1" fillId="0" borderId="40" xfId="0" applyFont="1" applyBorder="1" applyAlignment="1">
      <alignment horizontal="center" vertical="center" wrapText="1"/>
    </xf>
    <xf numFmtId="0" fontId="1" fillId="0" borderId="41" xfId="0" applyFont="1" applyBorder="1" applyAlignment="1">
      <alignment horizontal="center" vertical="center" wrapText="1"/>
    </xf>
    <xf numFmtId="0" fontId="1" fillId="0" borderId="32" xfId="0" applyFont="1" applyBorder="1" applyAlignment="1">
      <alignment horizontal="center" vertical="center"/>
    </xf>
    <xf numFmtId="0" fontId="1" fillId="0" borderId="33" xfId="0" applyFont="1" applyBorder="1" applyAlignment="1">
      <alignment horizontal="center" vertical="center"/>
    </xf>
    <xf numFmtId="0" fontId="1" fillId="0" borderId="23" xfId="0" applyFont="1" applyBorder="1" applyAlignment="1">
      <alignment horizontal="center" vertical="center"/>
    </xf>
    <xf numFmtId="0" fontId="1" fillId="0" borderId="34" xfId="0" applyFont="1" applyBorder="1" applyAlignment="1">
      <alignment horizontal="center" vertical="center"/>
    </xf>
    <xf numFmtId="0" fontId="1" fillId="0" borderId="35" xfId="0" applyFont="1" applyBorder="1" applyAlignment="1">
      <alignment horizontal="center" vertical="center"/>
    </xf>
    <xf numFmtId="0" fontId="1" fillId="0" borderId="38" xfId="0" applyFont="1" applyBorder="1" applyAlignment="1">
      <alignment horizontal="center" vertical="center"/>
    </xf>
    <xf numFmtId="2" fontId="2" fillId="3" borderId="3" xfId="0" applyNumberFormat="1" applyFont="1" applyFill="1" applyBorder="1" applyProtection="1">
      <protection locked="0"/>
    </xf>
    <xf numFmtId="0" fontId="2" fillId="0" borderId="42" xfId="0" applyFont="1" applyBorder="1"/>
    <xf numFmtId="0" fontId="1" fillId="0" borderId="11" xfId="0" applyFont="1" applyBorder="1"/>
    <xf numFmtId="0" fontId="1" fillId="5" borderId="0" xfId="0" applyFont="1" applyFill="1" applyAlignment="1">
      <alignment horizontal="right" wrapText="1"/>
    </xf>
    <xf numFmtId="0" fontId="1" fillId="5" borderId="0" xfId="0" quotePrefix="1" applyFont="1" applyFill="1" applyAlignment="1">
      <alignment horizontal="right"/>
    </xf>
    <xf numFmtId="0" fontId="1" fillId="2" borderId="44" xfId="0" applyFont="1" applyFill="1" applyBorder="1" applyAlignment="1" applyProtection="1">
      <alignment horizontal="center" vertical="center"/>
      <protection locked="0"/>
    </xf>
    <xf numFmtId="0" fontId="1" fillId="0" borderId="45" xfId="0" applyFont="1" applyBorder="1" applyAlignment="1">
      <alignment horizontal="center" vertical="center"/>
    </xf>
    <xf numFmtId="0" fontId="1" fillId="2" borderId="45" xfId="0" applyFont="1" applyFill="1" applyBorder="1" applyAlignment="1" applyProtection="1">
      <alignment horizontal="center" vertical="center"/>
      <protection locked="0"/>
    </xf>
    <xf numFmtId="0" fontId="1" fillId="0" borderId="46" xfId="0" applyFont="1" applyBorder="1" applyAlignment="1">
      <alignment horizontal="center" vertical="center"/>
    </xf>
    <xf numFmtId="0" fontId="1" fillId="2" borderId="46" xfId="0" applyFont="1" applyFill="1" applyBorder="1" applyAlignment="1" applyProtection="1">
      <alignment horizontal="center" vertical="center"/>
      <protection locked="0"/>
    </xf>
    <xf numFmtId="0" fontId="1" fillId="0" borderId="16" xfId="0" applyFont="1" applyBorder="1" applyAlignment="1">
      <alignment horizontal="center" vertical="center"/>
    </xf>
    <xf numFmtId="0" fontId="30" fillId="0" borderId="0" xfId="0" applyFont="1" applyAlignment="1">
      <alignment horizontal="center"/>
    </xf>
    <xf numFmtId="0" fontId="2" fillId="5" borderId="4" xfId="0" applyFont="1" applyFill="1" applyBorder="1" applyAlignment="1">
      <alignment horizontal="center" vertical="center"/>
    </xf>
    <xf numFmtId="0" fontId="1" fillId="0" borderId="48" xfId="0" applyFont="1" applyBorder="1" applyAlignment="1">
      <alignment horizontal="center" vertical="center"/>
    </xf>
    <xf numFmtId="0" fontId="8" fillId="0" borderId="0" xfId="0" applyFont="1" applyAlignment="1">
      <alignment wrapText="1"/>
    </xf>
    <xf numFmtId="0" fontId="2" fillId="11" borderId="0" xfId="0" applyFont="1" applyFill="1" applyAlignment="1">
      <alignment wrapText="1"/>
    </xf>
    <xf numFmtId="0" fontId="1" fillId="0" borderId="11" xfId="0" applyFont="1" applyBorder="1" applyAlignment="1">
      <alignment vertical="center"/>
    </xf>
    <xf numFmtId="10" fontId="2" fillId="0" borderId="3" xfId="0" quotePrefix="1" applyNumberFormat="1" applyFont="1" applyBorder="1" applyAlignment="1">
      <alignment vertical="center" wrapText="1"/>
    </xf>
    <xf numFmtId="10" fontId="2" fillId="0" borderId="4" xfId="0" quotePrefix="1" applyNumberFormat="1" applyFont="1" applyBorder="1" applyAlignment="1">
      <alignment vertical="center" wrapText="1"/>
    </xf>
    <xf numFmtId="10" fontId="2" fillId="0" borderId="5" xfId="0" quotePrefix="1" applyNumberFormat="1" applyFont="1" applyBorder="1" applyAlignment="1">
      <alignment vertical="center" wrapText="1"/>
    </xf>
    <xf numFmtId="165" fontId="22" fillId="0" borderId="6" xfId="5" applyNumberFormat="1" applyFont="1" applyFill="1" applyBorder="1" applyAlignment="1" applyProtection="1">
      <alignment vertical="center"/>
    </xf>
    <xf numFmtId="49" fontId="3" fillId="0" borderId="0" xfId="0" applyNumberFormat="1" applyFont="1" applyAlignment="1">
      <alignment vertical="center"/>
    </xf>
    <xf numFmtId="0" fontId="36" fillId="0" borderId="0" xfId="0" applyFont="1" applyAlignment="1">
      <alignment horizontal="left" wrapText="1"/>
    </xf>
    <xf numFmtId="0" fontId="1" fillId="0" borderId="16" xfId="0" applyFont="1" applyBorder="1" applyAlignment="1">
      <alignment wrapText="1"/>
    </xf>
    <xf numFmtId="0" fontId="30" fillId="0" borderId="0" xfId="0" applyFont="1"/>
    <xf numFmtId="0" fontId="1" fillId="5" borderId="0" xfId="0" applyFont="1" applyFill="1" applyAlignment="1">
      <alignment horizontal="left"/>
    </xf>
    <xf numFmtId="0" fontId="2" fillId="0" borderId="13" xfId="0" applyFont="1" applyBorder="1" applyAlignment="1">
      <alignment horizontal="center" vertical="center"/>
    </xf>
    <xf numFmtId="0" fontId="1" fillId="2" borderId="2" xfId="0" applyFont="1" applyFill="1" applyBorder="1" applyAlignment="1">
      <alignment horizontal="center" vertical="center"/>
    </xf>
    <xf numFmtId="0" fontId="1" fillId="2" borderId="13" xfId="0" applyFont="1" applyFill="1" applyBorder="1" applyAlignment="1">
      <alignment horizontal="center" vertical="center"/>
    </xf>
    <xf numFmtId="49" fontId="3" fillId="0" borderId="0" xfId="0" applyNumberFormat="1" applyFont="1" applyAlignment="1">
      <alignment horizontal="right" vertical="center"/>
    </xf>
    <xf numFmtId="9" fontId="2" fillId="0" borderId="0" xfId="0" applyNumberFormat="1" applyFont="1" applyAlignment="1">
      <alignment horizontal="center" vertical="top" wrapText="1"/>
    </xf>
    <xf numFmtId="0" fontId="10" fillId="0" borderId="0" xfId="0" applyFont="1"/>
    <xf numFmtId="0" fontId="1" fillId="2" borderId="6" xfId="0" applyFont="1" applyFill="1" applyBorder="1" applyAlignment="1">
      <alignment horizontal="center"/>
    </xf>
    <xf numFmtId="1" fontId="2" fillId="0" borderId="6" xfId="0" applyNumberFormat="1" applyFont="1" applyBorder="1" applyAlignment="1">
      <alignment horizontal="center"/>
    </xf>
    <xf numFmtId="10" fontId="2" fillId="0" borderId="0" xfId="0" quotePrefix="1" applyNumberFormat="1" applyFont="1" applyAlignment="1">
      <alignment horizontal="left" vertical="center" wrapText="1"/>
    </xf>
    <xf numFmtId="10" fontId="2" fillId="0" borderId="0" xfId="0" applyNumberFormat="1" applyFont="1" applyAlignment="1">
      <alignment horizontal="left" vertical="center" wrapText="1"/>
    </xf>
    <xf numFmtId="10" fontId="2" fillId="0" borderId="0" xfId="0" quotePrefix="1" applyNumberFormat="1" applyFont="1" applyAlignment="1">
      <alignment vertical="center" wrapText="1"/>
    </xf>
    <xf numFmtId="0" fontId="2" fillId="0" borderId="9" xfId="0" applyFont="1" applyBorder="1" applyAlignment="1">
      <alignment horizontal="center" vertical="center"/>
    </xf>
    <xf numFmtId="0" fontId="2" fillId="0" borderId="16" xfId="0" applyFont="1" applyBorder="1" applyAlignment="1">
      <alignment vertical="center" wrapText="1"/>
    </xf>
    <xf numFmtId="0" fontId="2" fillId="5" borderId="0" xfId="0" applyFont="1" applyFill="1" applyAlignment="1">
      <alignment horizontal="center" vertical="top"/>
    </xf>
    <xf numFmtId="0" fontId="1" fillId="0" borderId="0" xfId="0" applyFont="1" applyAlignment="1">
      <alignment horizontal="center" vertical="top"/>
    </xf>
    <xf numFmtId="0" fontId="2" fillId="0" borderId="0" xfId="0" applyFont="1" applyAlignment="1">
      <alignment horizontal="center" vertical="top"/>
    </xf>
    <xf numFmtId="0" fontId="1" fillId="0" borderId="1" xfId="0" applyFont="1" applyBorder="1" applyAlignment="1">
      <alignment horizontal="center" vertical="top"/>
    </xf>
    <xf numFmtId="0" fontId="2" fillId="0" borderId="1" xfId="0" applyFont="1" applyBorder="1" applyAlignment="1">
      <alignment vertical="top"/>
    </xf>
    <xf numFmtId="0" fontId="11" fillId="5" borderId="0" xfId="0" applyFont="1" applyFill="1" applyAlignment="1">
      <alignment horizontal="center" vertical="top"/>
    </xf>
    <xf numFmtId="0" fontId="1" fillId="5" borderId="8" xfId="0" applyFont="1" applyFill="1" applyBorder="1" applyAlignment="1">
      <alignment horizontal="center" vertical="top"/>
    </xf>
    <xf numFmtId="0" fontId="1" fillId="5" borderId="7" xfId="0" applyFont="1" applyFill="1" applyBorder="1" applyAlignment="1">
      <alignment horizontal="center" vertical="top"/>
    </xf>
    <xf numFmtId="0" fontId="2" fillId="5" borderId="7" xfId="0" applyFont="1" applyFill="1" applyBorder="1" applyAlignment="1">
      <alignment horizontal="center" vertical="top"/>
    </xf>
    <xf numFmtId="0" fontId="1" fillId="2" borderId="6" xfId="0" applyFont="1" applyFill="1" applyBorder="1" applyAlignment="1" applyProtection="1">
      <alignment horizontal="center" vertical="top"/>
      <protection locked="0"/>
    </xf>
    <xf numFmtId="0" fontId="1" fillId="5" borderId="16" xfId="0" applyFont="1" applyFill="1" applyBorder="1" applyAlignment="1">
      <alignment horizontal="center" vertical="top"/>
    </xf>
    <xf numFmtId="0" fontId="1" fillId="5" borderId="17" xfId="0" applyFont="1" applyFill="1" applyBorder="1" applyAlignment="1">
      <alignment horizontal="center" vertical="top"/>
    </xf>
    <xf numFmtId="0" fontId="2" fillId="5" borderId="16" xfId="0" applyFont="1" applyFill="1" applyBorder="1" applyAlignment="1">
      <alignment horizontal="center" vertical="top"/>
    </xf>
    <xf numFmtId="0" fontId="2" fillId="5" borderId="17" xfId="0" applyFont="1" applyFill="1" applyBorder="1" applyAlignment="1">
      <alignment horizontal="center" vertical="top"/>
    </xf>
    <xf numFmtId="0" fontId="1" fillId="5" borderId="3" xfId="0" applyFont="1" applyFill="1" applyBorder="1" applyAlignment="1">
      <alignment horizontal="center" vertical="top"/>
    </xf>
    <xf numFmtId="0" fontId="1" fillId="5" borderId="5" xfId="0" applyFont="1" applyFill="1" applyBorder="1" applyAlignment="1">
      <alignment horizontal="center" vertical="top"/>
    </xf>
    <xf numFmtId="0" fontId="2" fillId="5" borderId="16" xfId="0" applyFont="1" applyFill="1" applyBorder="1" applyAlignment="1">
      <alignment horizontal="center" vertical="center"/>
    </xf>
    <xf numFmtId="0" fontId="2" fillId="0" borderId="1" xfId="0" applyFont="1" applyBorder="1" applyAlignment="1">
      <alignment horizontal="left" vertical="center" wrapText="1"/>
    </xf>
    <xf numFmtId="0" fontId="2" fillId="0" borderId="16" xfId="0" applyFont="1" applyBorder="1" applyAlignment="1">
      <alignment vertical="top"/>
    </xf>
    <xf numFmtId="0" fontId="2" fillId="0" borderId="17" xfId="0" applyFont="1" applyBorder="1" applyAlignment="1">
      <alignment vertical="top"/>
    </xf>
    <xf numFmtId="0" fontId="1" fillId="9" borderId="9" xfId="0" applyFont="1" applyFill="1" applyBorder="1" applyAlignment="1">
      <alignment horizontal="center" vertical="top"/>
    </xf>
    <xf numFmtId="0" fontId="1" fillId="9" borderId="11" xfId="0" applyFont="1" applyFill="1" applyBorder="1" applyAlignment="1">
      <alignment horizontal="center" vertical="top"/>
    </xf>
    <xf numFmtId="0" fontId="2" fillId="5" borderId="10" xfId="0" applyFont="1" applyFill="1" applyBorder="1" applyAlignment="1">
      <alignment horizontal="center" vertical="top"/>
    </xf>
    <xf numFmtId="0" fontId="2" fillId="5" borderId="12" xfId="0" applyFont="1" applyFill="1" applyBorder="1" applyAlignment="1">
      <alignment horizontal="center" vertical="top"/>
    </xf>
    <xf numFmtId="0" fontId="1" fillId="9" borderId="0" xfId="0" applyFont="1" applyFill="1" applyAlignment="1">
      <alignment horizontal="center" vertical="top"/>
    </xf>
    <xf numFmtId="0" fontId="2" fillId="11" borderId="0" xfId="0" applyFont="1" applyFill="1" applyAlignment="1">
      <alignment vertical="top"/>
    </xf>
    <xf numFmtId="0" fontId="1" fillId="11" borderId="3" xfId="0" applyFont="1" applyFill="1" applyBorder="1" applyAlignment="1">
      <alignment horizontal="center" vertical="top"/>
    </xf>
    <xf numFmtId="0" fontId="1" fillId="11" borderId="5" xfId="0" applyFont="1" applyFill="1" applyBorder="1" applyAlignment="1">
      <alignment horizontal="center" vertical="top"/>
    </xf>
    <xf numFmtId="0" fontId="1" fillId="11" borderId="0" xfId="0" applyFont="1" applyFill="1" applyAlignment="1">
      <alignment horizontal="center" vertical="top"/>
    </xf>
    <xf numFmtId="0" fontId="2" fillId="11" borderId="16" xfId="0" applyFont="1" applyFill="1" applyBorder="1" applyAlignment="1">
      <alignment horizontal="center" vertical="top"/>
    </xf>
    <xf numFmtId="0" fontId="2" fillId="11" borderId="17" xfId="0" applyFont="1" applyFill="1" applyBorder="1" applyAlignment="1">
      <alignment horizontal="center" vertical="top"/>
    </xf>
    <xf numFmtId="0" fontId="2" fillId="11" borderId="0" xfId="0" applyFont="1" applyFill="1" applyAlignment="1">
      <alignment horizontal="center" vertical="top"/>
    </xf>
    <xf numFmtId="0" fontId="3" fillId="0" borderId="0" xfId="0" applyFont="1" applyAlignment="1">
      <alignment horizontal="left" vertical="top" wrapText="1"/>
    </xf>
    <xf numFmtId="0" fontId="2" fillId="0" borderId="8" xfId="0" applyFont="1" applyBorder="1" applyAlignment="1">
      <alignment vertical="top"/>
    </xf>
    <xf numFmtId="0" fontId="2" fillId="5" borderId="10" xfId="0" applyFont="1" applyFill="1" applyBorder="1" applyAlignment="1">
      <alignment horizontal="center" vertical="center"/>
    </xf>
    <xf numFmtId="0" fontId="2" fillId="5" borderId="12" xfId="0" applyFont="1" applyFill="1" applyBorder="1" applyAlignment="1">
      <alignment horizontal="center" vertical="center"/>
    </xf>
    <xf numFmtId="0" fontId="2" fillId="5" borderId="8" xfId="0" applyFont="1" applyFill="1" applyBorder="1" applyAlignment="1">
      <alignment horizontal="center" vertical="top"/>
    </xf>
    <xf numFmtId="0" fontId="17" fillId="0" borderId="0" xfId="1" applyFont="1" applyAlignment="1">
      <alignment horizontal="justify" vertical="top" wrapText="1"/>
    </xf>
    <xf numFmtId="0" fontId="19" fillId="0" borderId="0" xfId="1" applyFont="1" applyAlignment="1">
      <alignment vertical="top" wrapText="1"/>
    </xf>
    <xf numFmtId="0" fontId="8" fillId="0" borderId="0" xfId="1" applyFont="1" applyAlignment="1">
      <alignment horizontal="justify" vertical="top" wrapText="1"/>
    </xf>
    <xf numFmtId="0" fontId="3" fillId="0" borderId="0" xfId="0" applyFont="1" applyAlignment="1">
      <alignment horizontal="justify" vertical="center" wrapText="1"/>
    </xf>
    <xf numFmtId="0" fontId="2" fillId="0" borderId="0" xfId="0" applyFont="1" applyAlignment="1">
      <alignment horizontal="left" vertical="top" wrapText="1"/>
    </xf>
    <xf numFmtId="0" fontId="2" fillId="0" borderId="4" xfId="0" applyFont="1" applyBorder="1" applyAlignment="1">
      <alignment horizontal="left" vertical="top"/>
    </xf>
    <xf numFmtId="0" fontId="3" fillId="0" borderId="0" xfId="0" applyFont="1" applyAlignment="1">
      <alignment horizontal="justify" vertical="top" wrapText="1"/>
    </xf>
    <xf numFmtId="0" fontId="2" fillId="0" borderId="0" xfId="0" applyFont="1" applyAlignment="1">
      <alignment horizontal="left" vertical="center" wrapText="1"/>
    </xf>
    <xf numFmtId="0" fontId="11" fillId="0" borderId="0" xfId="0" applyFont="1" applyAlignment="1">
      <alignment horizontal="center"/>
    </xf>
    <xf numFmtId="0" fontId="1" fillId="0" borderId="6" xfId="0" applyFont="1" applyBorder="1" applyAlignment="1">
      <alignment horizontal="center" vertical="center" wrapText="1"/>
    </xf>
    <xf numFmtId="0" fontId="1" fillId="0" borderId="6" xfId="0" applyFont="1" applyBorder="1" applyAlignment="1">
      <alignment horizontal="center"/>
    </xf>
    <xf numFmtId="0" fontId="11" fillId="5" borderId="0" xfId="0" applyFont="1" applyFill="1" applyAlignment="1">
      <alignment horizontal="center"/>
    </xf>
    <xf numFmtId="0" fontId="2" fillId="0" borderId="3" xfId="0" applyFont="1" applyBorder="1" applyAlignment="1">
      <alignment horizontal="left"/>
    </xf>
    <xf numFmtId="0" fontId="2" fillId="0" borderId="5" xfId="0" applyFont="1" applyBorder="1" applyAlignment="1">
      <alignment horizontal="left"/>
    </xf>
    <xf numFmtId="0" fontId="1" fillId="0" borderId="3" xfId="0" applyFont="1" applyBorder="1" applyAlignment="1">
      <alignment horizontal="center"/>
    </xf>
    <xf numFmtId="0" fontId="5" fillId="0" borderId="0" xfId="0" applyFont="1" applyAlignment="1">
      <alignment horizontal="center"/>
    </xf>
    <xf numFmtId="0" fontId="2" fillId="5" borderId="17" xfId="0" applyFont="1" applyFill="1" applyBorder="1" applyAlignment="1">
      <alignment horizontal="center" vertical="center"/>
    </xf>
    <xf numFmtId="0" fontId="7" fillId="0" borderId="0" xfId="0" applyFont="1" applyAlignment="1" applyProtection="1">
      <alignment horizontal="center"/>
      <protection locked="0"/>
    </xf>
    <xf numFmtId="0" fontId="2" fillId="0" borderId="0" xfId="0" applyFont="1" applyAlignment="1">
      <alignment horizontal="center" vertical="center"/>
    </xf>
    <xf numFmtId="0" fontId="2" fillId="3" borderId="3" xfId="0" applyFont="1" applyFill="1" applyBorder="1" applyAlignment="1">
      <alignment horizontal="center"/>
    </xf>
    <xf numFmtId="0" fontId="1" fillId="5" borderId="0" xfId="0" applyFont="1" applyFill="1" applyAlignment="1">
      <alignment horizontal="center" vertical="top"/>
    </xf>
    <xf numFmtId="0" fontId="37" fillId="0" borderId="0" xfId="0" applyFont="1" applyAlignment="1">
      <alignment horizontal="left" vertical="top" wrapText="1"/>
    </xf>
    <xf numFmtId="0" fontId="7" fillId="0" borderId="0" xfId="0" applyFont="1" applyAlignment="1">
      <alignment horizontal="left" vertical="top" wrapText="1"/>
    </xf>
    <xf numFmtId="0" fontId="7" fillId="0" borderId="0" xfId="0" applyFont="1" applyAlignment="1">
      <alignment horizontal="left" vertical="top" wrapText="1" indent="1"/>
    </xf>
    <xf numFmtId="0" fontId="1" fillId="0" borderId="6" xfId="0" applyFont="1" applyBorder="1" applyAlignment="1">
      <alignment horizontal="center" wrapText="1"/>
    </xf>
    <xf numFmtId="0" fontId="1" fillId="0" borderId="0" xfId="0" applyFont="1" applyAlignment="1">
      <alignment horizontal="left" wrapText="1"/>
    </xf>
    <xf numFmtId="0" fontId="2" fillId="9" borderId="6" xfId="0" applyFont="1" applyFill="1" applyBorder="1" applyAlignment="1">
      <alignment horizontal="center" vertical="center"/>
    </xf>
    <xf numFmtId="10" fontId="2" fillId="0" borderId="6" xfId="0" applyNumberFormat="1" applyFont="1" applyBorder="1" applyAlignment="1">
      <alignment horizontal="center"/>
    </xf>
    <xf numFmtId="0" fontId="1" fillId="2" borderId="6" xfId="0" applyFont="1" applyFill="1" applyBorder="1" applyAlignment="1" applyProtection="1">
      <alignment horizontal="center"/>
      <protection locked="0"/>
    </xf>
    <xf numFmtId="0" fontId="6" fillId="2" borderId="6" xfId="0" applyFont="1" applyFill="1" applyBorder="1" applyAlignment="1" applyProtection="1">
      <alignment horizontal="center"/>
      <protection locked="0"/>
    </xf>
    <xf numFmtId="0" fontId="6" fillId="2" borderId="6" xfId="0" applyFont="1" applyFill="1" applyBorder="1" applyAlignment="1">
      <alignment horizontal="center"/>
    </xf>
    <xf numFmtId="0" fontId="1" fillId="4" borderId="6" xfId="0" applyFont="1" applyFill="1" applyBorder="1" applyAlignment="1" applyProtection="1">
      <alignment horizontal="center"/>
      <protection locked="0"/>
    </xf>
    <xf numFmtId="0" fontId="1" fillId="4" borderId="6" xfId="0" applyFont="1" applyFill="1" applyBorder="1" applyAlignment="1">
      <alignment horizontal="center"/>
    </xf>
    <xf numFmtId="0" fontId="7" fillId="2" borderId="0" xfId="0" applyFont="1" applyFill="1" applyAlignment="1" applyProtection="1">
      <alignment horizontal="center"/>
      <protection locked="0"/>
    </xf>
    <xf numFmtId="0" fontId="2" fillId="4" borderId="2" xfId="0" applyFont="1" applyFill="1" applyBorder="1" applyAlignment="1">
      <alignment horizontal="right"/>
    </xf>
    <xf numFmtId="0" fontId="1" fillId="2" borderId="6" xfId="0" applyFont="1" applyFill="1" applyBorder="1" applyAlignment="1">
      <alignment horizontal="center" vertical="top"/>
    </xf>
    <xf numFmtId="0" fontId="1" fillId="0" borderId="4" xfId="0" applyFont="1" applyBorder="1" applyAlignment="1">
      <alignment horizontal="center" vertical="top"/>
    </xf>
    <xf numFmtId="0" fontId="0" fillId="0" borderId="6" xfId="0" applyBorder="1" applyAlignment="1">
      <alignment horizontal="center" vertical="center" wrapText="1"/>
    </xf>
    <xf numFmtId="0" fontId="0" fillId="0" borderId="6" xfId="0" applyBorder="1" applyAlignment="1">
      <alignment vertical="center"/>
    </xf>
    <xf numFmtId="0" fontId="0" fillId="0" borderId="6" xfId="0" applyBorder="1" applyAlignment="1">
      <alignment horizontal="center"/>
    </xf>
    <xf numFmtId="165" fontId="0" fillId="0" borderId="6" xfId="5" applyNumberFormat="1" applyFont="1" applyBorder="1" applyAlignment="1" applyProtection="1">
      <alignment horizontal="center"/>
    </xf>
    <xf numFmtId="0" fontId="0" fillId="0" borderId="9" xfId="0" applyBorder="1"/>
    <xf numFmtId="0" fontId="7" fillId="0" borderId="0" xfId="0" applyFont="1" applyAlignment="1">
      <alignment horizontal="center"/>
    </xf>
    <xf numFmtId="0" fontId="1" fillId="3" borderId="6" xfId="0" applyFont="1" applyFill="1" applyBorder="1" applyAlignment="1">
      <alignment horizontal="center"/>
    </xf>
    <xf numFmtId="0" fontId="1" fillId="2" borderId="2" xfId="0" applyFont="1" applyFill="1" applyBorder="1" applyAlignment="1" applyProtection="1">
      <alignment horizontal="center" vertical="center"/>
      <protection locked="0"/>
    </xf>
    <xf numFmtId="0" fontId="1" fillId="2" borderId="13" xfId="0" applyFont="1" applyFill="1" applyBorder="1" applyAlignment="1" applyProtection="1">
      <alignment horizontal="center" vertical="center"/>
      <protection locked="0"/>
    </xf>
    <xf numFmtId="0" fontId="1" fillId="2" borderId="44" xfId="0" applyFont="1" applyFill="1" applyBorder="1" applyAlignment="1">
      <alignment horizontal="center" vertical="center"/>
    </xf>
    <xf numFmtId="0" fontId="1" fillId="2" borderId="45" xfId="0" applyFont="1" applyFill="1" applyBorder="1" applyAlignment="1">
      <alignment horizontal="center" vertical="center"/>
    </xf>
    <xf numFmtId="0" fontId="1" fillId="2" borderId="46" xfId="0" applyFont="1" applyFill="1" applyBorder="1" applyAlignment="1">
      <alignment horizontal="center" vertical="center"/>
    </xf>
    <xf numFmtId="49" fontId="2" fillId="0" borderId="0" xfId="0" applyNumberFormat="1" applyFont="1" applyAlignment="1">
      <alignment vertical="top" wrapText="1"/>
    </xf>
    <xf numFmtId="0" fontId="7" fillId="2" borderId="0" xfId="0" applyFont="1" applyFill="1" applyAlignment="1">
      <alignment horizontal="center"/>
    </xf>
    <xf numFmtId="0" fontId="2" fillId="6" borderId="6" xfId="0" applyFont="1" applyFill="1" applyBorder="1" applyAlignment="1">
      <alignment horizontal="left"/>
    </xf>
    <xf numFmtId="0" fontId="2" fillId="2" borderId="0" xfId="0" applyFont="1" applyFill="1"/>
    <xf numFmtId="2" fontId="2" fillId="3" borderId="3" xfId="0" applyNumberFormat="1" applyFont="1" applyFill="1" applyBorder="1"/>
    <xf numFmtId="0" fontId="2" fillId="6" borderId="0" xfId="0" applyFont="1" applyFill="1" applyAlignment="1">
      <alignment horizontal="left"/>
    </xf>
    <xf numFmtId="2" fontId="2" fillId="3" borderId="0" xfId="0" applyNumberFormat="1" applyFont="1" applyFill="1"/>
    <xf numFmtId="0" fontId="2" fillId="3" borderId="0" xfId="0" applyFont="1" applyFill="1" applyAlignment="1">
      <alignment horizontal="justify"/>
    </xf>
    <xf numFmtId="2" fontId="2" fillId="0" borderId="0" xfId="0" applyNumberFormat="1" applyFont="1"/>
    <xf numFmtId="166" fontId="2" fillId="0" borderId="6" xfId="4" applyNumberFormat="1" applyFont="1" applyFill="1" applyBorder="1" applyAlignment="1" applyProtection="1"/>
    <xf numFmtId="167" fontId="2" fillId="0" borderId="0" xfId="0" applyNumberFormat="1" applyFont="1" applyAlignment="1">
      <alignment horizontal="center"/>
    </xf>
    <xf numFmtId="0" fontId="40" fillId="5" borderId="0" xfId="0" applyFont="1" applyFill="1" applyAlignment="1">
      <alignment horizontal="right"/>
    </xf>
    <xf numFmtId="0" fontId="1" fillId="3" borderId="6" xfId="0" applyFont="1" applyFill="1" applyBorder="1" applyAlignment="1" applyProtection="1">
      <alignment horizontal="center"/>
      <protection locked="0"/>
    </xf>
    <xf numFmtId="0" fontId="2" fillId="0" borderId="10" xfId="0" applyFont="1" applyBorder="1" applyAlignment="1">
      <alignment vertical="top"/>
    </xf>
    <xf numFmtId="0" fontId="19" fillId="2" borderId="6" xfId="1" applyFont="1" applyFill="1" applyBorder="1" applyAlignment="1" applyProtection="1">
      <alignment horizontal="center" vertical="center" wrapText="1"/>
      <protection locked="0"/>
    </xf>
    <xf numFmtId="0" fontId="19" fillId="2" borderId="6" xfId="1" applyFont="1" applyFill="1" applyBorder="1" applyAlignment="1">
      <alignment horizontal="center" vertical="center" wrapText="1"/>
    </xf>
    <xf numFmtId="0" fontId="17" fillId="0" borderId="9" xfId="1" applyFont="1" applyBorder="1" applyAlignment="1">
      <alignment horizontal="center" vertical="top" wrapText="1"/>
    </xf>
    <xf numFmtId="0" fontId="14" fillId="0" borderId="0" xfId="1" applyFont="1" applyAlignment="1">
      <alignment horizontal="center" vertical="top"/>
    </xf>
    <xf numFmtId="0" fontId="17" fillId="0" borderId="0" xfId="1" applyFont="1" applyAlignment="1">
      <alignment horizontal="justify" vertical="top" wrapText="1"/>
    </xf>
    <xf numFmtId="0" fontId="19" fillId="0" borderId="0" xfId="1" applyFont="1" applyAlignment="1">
      <alignment vertical="top" wrapText="1"/>
    </xf>
    <xf numFmtId="0" fontId="8" fillId="0" borderId="0" xfId="1" applyFont="1" applyAlignment="1">
      <alignment horizontal="justify" vertical="top" wrapText="1"/>
    </xf>
    <xf numFmtId="0" fontId="7" fillId="0" borderId="0" xfId="1" applyFont="1" applyAlignment="1">
      <alignment vertical="top" wrapText="1"/>
    </xf>
    <xf numFmtId="0" fontId="13" fillId="0" borderId="0" xfId="1" applyAlignment="1">
      <alignment vertical="top" wrapText="1"/>
    </xf>
    <xf numFmtId="0" fontId="14" fillId="0" borderId="29" xfId="1" applyFont="1" applyBorder="1" applyAlignment="1">
      <alignment horizontal="center" vertical="top"/>
    </xf>
    <xf numFmtId="0" fontId="14" fillId="0" borderId="30" xfId="1" applyFont="1" applyBorder="1" applyAlignment="1">
      <alignment horizontal="center" vertical="top"/>
    </xf>
    <xf numFmtId="0" fontId="14" fillId="0" borderId="31" xfId="1" applyFont="1" applyBorder="1" applyAlignment="1">
      <alignment horizontal="center" vertical="top"/>
    </xf>
    <xf numFmtId="14" fontId="15" fillId="0" borderId="0" xfId="1" applyNumberFormat="1" applyFont="1" applyAlignment="1">
      <alignment horizontal="center" vertical="top"/>
    </xf>
    <xf numFmtId="0" fontId="1" fillId="0" borderId="1" xfId="0" applyFont="1" applyBorder="1" applyAlignment="1">
      <alignment horizontal="center"/>
    </xf>
    <xf numFmtId="0" fontId="3" fillId="0" borderId="0" xfId="0" applyFont="1" applyAlignment="1">
      <alignment horizontal="justify" vertical="top" wrapText="1"/>
    </xf>
    <xf numFmtId="0" fontId="3" fillId="0" borderId="1" xfId="0" applyFont="1" applyBorder="1" applyAlignment="1">
      <alignment horizontal="justify" vertical="top" wrapText="1"/>
    </xf>
    <xf numFmtId="0" fontId="1" fillId="0" borderId="0" xfId="0" applyFont="1" applyAlignment="1">
      <alignment horizontal="center"/>
    </xf>
    <xf numFmtId="0" fontId="2" fillId="0" borderId="1" xfId="0" applyFont="1" applyBorder="1" applyAlignment="1">
      <alignment horizontal="center"/>
    </xf>
    <xf numFmtId="0" fontId="2" fillId="4" borderId="3" xfId="0" applyFont="1" applyFill="1" applyBorder="1" applyAlignment="1">
      <alignment horizontal="left"/>
    </xf>
    <xf numFmtId="0" fontId="2" fillId="4" borderId="4" xfId="0" applyFont="1" applyFill="1" applyBorder="1" applyAlignment="1">
      <alignment horizontal="left"/>
    </xf>
    <xf numFmtId="0" fontId="2" fillId="4" borderId="5" xfId="0" applyFont="1" applyFill="1" applyBorder="1" applyAlignment="1">
      <alignment horizontal="left"/>
    </xf>
    <xf numFmtId="14" fontId="2" fillId="10" borderId="8" xfId="0" applyNumberFormat="1" applyFont="1" applyFill="1" applyBorder="1" applyAlignment="1">
      <alignment horizontal="left"/>
    </xf>
    <xf numFmtId="14" fontId="2" fillId="10" borderId="7" xfId="0" applyNumberFormat="1" applyFont="1" applyFill="1" applyBorder="1" applyAlignment="1">
      <alignment horizontal="left"/>
    </xf>
    <xf numFmtId="14" fontId="2" fillId="4" borderId="3" xfId="0" applyNumberFormat="1" applyFont="1" applyFill="1" applyBorder="1" applyAlignment="1">
      <alignment horizontal="left"/>
    </xf>
    <xf numFmtId="0" fontId="2" fillId="10" borderId="3" xfId="0" applyFont="1" applyFill="1" applyBorder="1" applyAlignment="1">
      <alignment horizontal="center"/>
    </xf>
    <xf numFmtId="0" fontId="2" fillId="10" borderId="4" xfId="0" applyFont="1" applyFill="1" applyBorder="1" applyAlignment="1">
      <alignment horizontal="center"/>
    </xf>
    <xf numFmtId="0" fontId="2" fillId="10" borderId="5" xfId="0" applyFont="1" applyFill="1" applyBorder="1" applyAlignment="1">
      <alignment horizontal="center"/>
    </xf>
    <xf numFmtId="0" fontId="2" fillId="0" borderId="2" xfId="0" applyFont="1" applyBorder="1" applyAlignment="1">
      <alignment horizontal="right" vertical="center"/>
    </xf>
    <xf numFmtId="0" fontId="2" fillId="0" borderId="15" xfId="0" applyFont="1" applyBorder="1" applyAlignment="1">
      <alignment horizontal="right" vertical="center"/>
    </xf>
    <xf numFmtId="0" fontId="2" fillId="0" borderId="13" xfId="0" applyFont="1" applyBorder="1" applyAlignment="1">
      <alignment horizontal="right" vertical="center"/>
    </xf>
    <xf numFmtId="0" fontId="5" fillId="0" borderId="0" xfId="0" applyFont="1" applyAlignment="1">
      <alignment horizontal="left" wrapText="1"/>
    </xf>
    <xf numFmtId="14" fontId="2" fillId="10" borderId="8" xfId="0" applyNumberFormat="1" applyFont="1" applyFill="1" applyBorder="1" applyAlignment="1" applyProtection="1">
      <alignment horizontal="left"/>
      <protection locked="0"/>
    </xf>
    <xf numFmtId="14" fontId="2" fillId="10" borderId="7" xfId="0" applyNumberFormat="1" applyFont="1" applyFill="1" applyBorder="1" applyAlignment="1" applyProtection="1">
      <alignment horizontal="left"/>
      <protection locked="0"/>
    </xf>
    <xf numFmtId="0" fontId="2" fillId="4" borderId="3" xfId="0" applyFont="1" applyFill="1" applyBorder="1" applyAlignment="1" applyProtection="1">
      <alignment horizontal="left"/>
      <protection locked="0"/>
    </xf>
    <xf numFmtId="0" fontId="2" fillId="4" borderId="4" xfId="0" applyFont="1" applyFill="1" applyBorder="1" applyAlignment="1" applyProtection="1">
      <alignment horizontal="left"/>
      <protection locked="0"/>
    </xf>
    <xf numFmtId="0" fontId="2" fillId="4" borderId="5" xfId="0" applyFont="1" applyFill="1" applyBorder="1" applyAlignment="1" applyProtection="1">
      <alignment horizontal="left"/>
      <protection locked="0"/>
    </xf>
    <xf numFmtId="14" fontId="2" fillId="4" borderId="3" xfId="0" applyNumberFormat="1" applyFont="1" applyFill="1" applyBorder="1" applyAlignment="1" applyProtection="1">
      <alignment horizontal="left"/>
      <protection locked="0"/>
    </xf>
    <xf numFmtId="0" fontId="2" fillId="10" borderId="3" xfId="0" applyFont="1" applyFill="1" applyBorder="1" applyAlignment="1" applyProtection="1">
      <alignment horizontal="center"/>
      <protection locked="0"/>
    </xf>
    <xf numFmtId="0" fontId="2" fillId="10" borderId="4" xfId="0" applyFont="1" applyFill="1" applyBorder="1" applyAlignment="1" applyProtection="1">
      <alignment horizontal="center"/>
      <protection locked="0"/>
    </xf>
    <xf numFmtId="0" fontId="2" fillId="10" borderId="5" xfId="0" applyFont="1" applyFill="1" applyBorder="1" applyAlignment="1" applyProtection="1">
      <alignment horizontal="center"/>
      <protection locked="0"/>
    </xf>
    <xf numFmtId="0" fontId="2" fillId="0" borderId="0" xfId="0" applyFont="1" applyAlignment="1">
      <alignment horizontal="left" vertical="top" wrapText="1"/>
    </xf>
    <xf numFmtId="0" fontId="2" fillId="0" borderId="16" xfId="0" applyFont="1" applyBorder="1" applyAlignment="1">
      <alignment horizontal="left" vertical="top" wrapText="1"/>
    </xf>
    <xf numFmtId="0" fontId="2" fillId="11" borderId="0" xfId="0" applyFont="1" applyFill="1" applyAlignment="1">
      <alignment horizontal="left" vertical="top" wrapText="1"/>
    </xf>
    <xf numFmtId="0" fontId="3" fillId="0" borderId="0" xfId="0" applyFont="1" applyAlignment="1">
      <alignment horizontal="left" vertical="top" wrapText="1"/>
    </xf>
    <xf numFmtId="0" fontId="2" fillId="0" borderId="3" xfId="0" applyFont="1" applyBorder="1" applyAlignment="1">
      <alignment horizontal="left" vertical="top"/>
    </xf>
    <xf numFmtId="0" fontId="2" fillId="0" borderId="4" xfId="0" applyFont="1" applyBorder="1" applyAlignment="1">
      <alignment horizontal="left" vertical="top"/>
    </xf>
    <xf numFmtId="0" fontId="2" fillId="0" borderId="5" xfId="0" applyFont="1" applyBorder="1" applyAlignment="1">
      <alignment horizontal="left" vertical="top"/>
    </xf>
    <xf numFmtId="14" fontId="2" fillId="0" borderId="3" xfId="0" applyNumberFormat="1" applyFont="1" applyBorder="1" applyAlignment="1">
      <alignment horizontal="left" vertical="top"/>
    </xf>
    <xf numFmtId="14" fontId="2" fillId="0" borderId="5" xfId="0" applyNumberFormat="1" applyFont="1" applyBorder="1" applyAlignment="1">
      <alignment horizontal="left" vertical="top"/>
    </xf>
    <xf numFmtId="0" fontId="2" fillId="0" borderId="0" xfId="0" applyFont="1" applyAlignment="1">
      <alignment horizontal="left" wrapText="1"/>
    </xf>
    <xf numFmtId="0" fontId="2" fillId="0" borderId="6" xfId="0" applyFont="1" applyBorder="1" applyAlignment="1">
      <alignment horizontal="justify" vertical="center" wrapText="1"/>
    </xf>
    <xf numFmtId="0" fontId="7" fillId="0" borderId="3" xfId="0" applyFont="1" applyBorder="1" applyAlignment="1">
      <alignment horizontal="center"/>
    </xf>
    <xf numFmtId="0" fontId="7" fillId="0" borderId="5" xfId="0" applyFont="1" applyBorder="1" applyAlignment="1">
      <alignment horizontal="center"/>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9" fillId="13" borderId="16" xfId="0" quotePrefix="1" applyFont="1" applyFill="1" applyBorder="1" applyAlignment="1">
      <alignment horizontal="center"/>
    </xf>
    <xf numFmtId="0" fontId="29" fillId="13" borderId="0" xfId="0" quotePrefix="1" applyFont="1" applyFill="1" applyAlignment="1">
      <alignment horizontal="center"/>
    </xf>
    <xf numFmtId="0" fontId="11" fillId="0" borderId="16" xfId="0" applyFont="1" applyBorder="1" applyAlignment="1">
      <alignment horizontal="center" vertical="center"/>
    </xf>
    <xf numFmtId="0" fontId="11" fillId="0" borderId="0" xfId="0" applyFont="1" applyAlignment="1">
      <alignment horizontal="center" vertical="center"/>
    </xf>
    <xf numFmtId="0" fontId="5" fillId="0" borderId="16" xfId="0" applyFont="1" applyBorder="1" applyAlignment="1">
      <alignment horizontal="center" vertical="center"/>
    </xf>
    <xf numFmtId="0" fontId="5" fillId="0" borderId="0" xfId="0" applyFont="1" applyAlignment="1">
      <alignment horizontal="center" vertical="center"/>
    </xf>
    <xf numFmtId="0" fontId="1" fillId="0" borderId="16" xfId="0" quotePrefix="1" applyFont="1" applyBorder="1" applyAlignment="1">
      <alignment horizontal="center" vertical="center"/>
    </xf>
    <xf numFmtId="0" fontId="1" fillId="0" borderId="0" xfId="0" applyFont="1" applyAlignment="1">
      <alignment horizontal="center"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left"/>
    </xf>
    <xf numFmtId="0" fontId="11" fillId="0" borderId="0" xfId="0" applyFont="1" applyAlignment="1">
      <alignment horizontal="center"/>
    </xf>
    <xf numFmtId="0" fontId="11" fillId="0" borderId="0" xfId="0" applyFont="1" applyAlignment="1">
      <alignment horizontal="center" wrapText="1"/>
    </xf>
    <xf numFmtId="0" fontId="1" fillId="0" borderId="6" xfId="0" applyFont="1" applyBorder="1" applyAlignment="1">
      <alignment horizontal="right"/>
    </xf>
    <xf numFmtId="0" fontId="1" fillId="0" borderId="2" xfId="0" applyFont="1" applyBorder="1" applyAlignment="1">
      <alignment horizontal="center" vertical="center" textRotation="90"/>
    </xf>
    <xf numFmtId="0" fontId="1" fillId="0" borderId="15" xfId="0" applyFont="1" applyBorder="1" applyAlignment="1">
      <alignment horizontal="center" vertical="center" textRotation="90"/>
    </xf>
    <xf numFmtId="0" fontId="1" fillId="0" borderId="13" xfId="0" applyFont="1" applyBorder="1" applyAlignment="1">
      <alignment horizontal="center" vertical="center" textRotation="90"/>
    </xf>
    <xf numFmtId="0" fontId="1" fillId="0" borderId="6" xfId="0" applyFont="1" applyBorder="1" applyAlignment="1">
      <alignment horizontal="center"/>
    </xf>
    <xf numFmtId="0" fontId="29" fillId="14" borderId="16" xfId="0" quotePrefix="1" applyFont="1" applyFill="1" applyBorder="1" applyAlignment="1">
      <alignment horizontal="center"/>
    </xf>
    <xf numFmtId="0" fontId="29" fillId="14" borderId="0" xfId="0" quotePrefix="1" applyFont="1" applyFill="1" applyAlignment="1">
      <alignment horizontal="center"/>
    </xf>
    <xf numFmtId="10" fontId="2" fillId="0" borderId="4" xfId="0" quotePrefix="1" applyNumberFormat="1" applyFont="1" applyBorder="1" applyAlignment="1">
      <alignment horizontal="left" vertical="center" wrapText="1"/>
    </xf>
    <xf numFmtId="10" fontId="2" fillId="0" borderId="5" xfId="0" quotePrefix="1" applyNumberFormat="1" applyFont="1" applyBorder="1" applyAlignment="1">
      <alignment horizontal="left" vertic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5" xfId="0" applyFont="1" applyBorder="1" applyAlignment="1">
      <alignment horizontal="left" vertical="top" wrapText="1"/>
    </xf>
    <xf numFmtId="0" fontId="2" fillId="0" borderId="3" xfId="0" applyFont="1" applyBorder="1" applyAlignment="1">
      <alignment horizontal="center"/>
    </xf>
    <xf numFmtId="0" fontId="2" fillId="0" borderId="4" xfId="0" applyFont="1" applyBorder="1" applyAlignment="1">
      <alignment horizontal="center"/>
    </xf>
    <xf numFmtId="0" fontId="2" fillId="0" borderId="5" xfId="0" applyFont="1" applyBorder="1" applyAlignment="1">
      <alignment horizontal="center"/>
    </xf>
    <xf numFmtId="0" fontId="1" fillId="0" borderId="6" xfId="0" applyFont="1" applyBorder="1" applyAlignment="1">
      <alignment horizontal="center" vertical="center" wrapText="1"/>
    </xf>
    <xf numFmtId="0" fontId="1" fillId="0" borderId="6" xfId="0" applyFont="1" applyBorder="1" applyAlignment="1">
      <alignment horizontal="center" wrapText="1"/>
    </xf>
    <xf numFmtId="10" fontId="2" fillId="0" borderId="3" xfId="0" applyNumberFormat="1" applyFont="1" applyBorder="1" applyAlignment="1">
      <alignment horizontal="center"/>
    </xf>
    <xf numFmtId="0" fontId="1" fillId="0" borderId="3" xfId="0" applyFont="1" applyBorder="1" applyAlignment="1">
      <alignment horizontal="center" wrapText="1"/>
    </xf>
    <xf numFmtId="0" fontId="1" fillId="0" borderId="5" xfId="0" applyFont="1" applyBorder="1" applyAlignment="1">
      <alignment horizontal="center" wrapText="1"/>
    </xf>
    <xf numFmtId="9" fontId="2" fillId="0" borderId="3" xfId="4" applyFont="1" applyFill="1" applyBorder="1" applyAlignment="1" applyProtection="1">
      <alignment horizontal="center"/>
    </xf>
    <xf numFmtId="9" fontId="2" fillId="0" borderId="5" xfId="4" applyFont="1" applyFill="1" applyBorder="1" applyAlignment="1" applyProtection="1">
      <alignment horizontal="center"/>
    </xf>
    <xf numFmtId="0" fontId="2" fillId="0" borderId="11" xfId="0" applyFont="1" applyBorder="1" applyAlignment="1">
      <alignment horizontal="center" vertical="center"/>
    </xf>
    <xf numFmtId="0" fontId="1" fillId="0" borderId="11" xfId="0" applyFont="1" applyBorder="1" applyAlignment="1">
      <alignment horizontal="center" vertical="center" wrapText="1"/>
    </xf>
    <xf numFmtId="0" fontId="2" fillId="0" borderId="11" xfId="0" applyFont="1" applyBorder="1" applyAlignment="1">
      <alignment horizontal="center" vertical="center" wrapText="1"/>
    </xf>
    <xf numFmtId="1" fontId="2" fillId="0" borderId="10" xfId="0" applyNumberFormat="1" applyFont="1" applyBorder="1" applyAlignment="1">
      <alignment horizontal="left" vertical="top" wrapText="1"/>
    </xf>
    <xf numFmtId="1" fontId="2" fillId="0" borderId="11" xfId="0" applyNumberFormat="1" applyFont="1" applyBorder="1" applyAlignment="1">
      <alignment horizontal="left" vertical="top" wrapText="1"/>
    </xf>
    <xf numFmtId="1" fontId="2" fillId="0" borderId="12" xfId="0" applyNumberFormat="1" applyFont="1" applyBorder="1" applyAlignment="1">
      <alignment horizontal="left" vertical="top" wrapText="1"/>
    </xf>
    <xf numFmtId="0" fontId="1" fillId="0" borderId="2" xfId="0" applyFont="1" applyBorder="1" applyAlignment="1">
      <alignment horizontal="center" vertical="center"/>
    </xf>
    <xf numFmtId="0" fontId="1" fillId="0" borderId="15" xfId="0" applyFont="1" applyBorder="1" applyAlignment="1">
      <alignment horizontal="center" vertical="center"/>
    </xf>
    <xf numFmtId="0" fontId="1" fillId="0" borderId="13" xfId="0" applyFont="1" applyBorder="1" applyAlignment="1">
      <alignment horizontal="center" vertical="center"/>
    </xf>
    <xf numFmtId="0" fontId="3" fillId="0" borderId="3" xfId="0" applyFont="1" applyBorder="1" applyAlignment="1">
      <alignment horizontal="left" vertical="center" wrapText="1" indent="1"/>
    </xf>
    <xf numFmtId="0" fontId="3" fillId="0" borderId="4" xfId="0" applyFont="1" applyBorder="1" applyAlignment="1">
      <alignment horizontal="left" vertical="center" wrapText="1" indent="1"/>
    </xf>
    <xf numFmtId="0" fontId="3" fillId="0" borderId="5" xfId="0" applyFont="1" applyBorder="1" applyAlignment="1">
      <alignment horizontal="left" vertical="center" wrapText="1" indent="1"/>
    </xf>
    <xf numFmtId="0" fontId="15" fillId="0" borderId="0" xfId="0" applyFont="1" applyAlignment="1">
      <alignment horizontal="left" vertical="center" wrapText="1"/>
    </xf>
    <xf numFmtId="0" fontId="3" fillId="0" borderId="0" xfId="0" applyFont="1" applyAlignment="1">
      <alignment horizontal="center"/>
    </xf>
    <xf numFmtId="0" fontId="2" fillId="0" borderId="16" xfId="0" applyFont="1" applyBorder="1" applyAlignment="1">
      <alignment horizontal="left" vertical="center" wrapText="1"/>
    </xf>
    <xf numFmtId="0" fontId="2" fillId="0" borderId="0" xfId="0" applyFont="1" applyAlignment="1">
      <alignment horizontal="left" vertical="center" wrapText="1"/>
    </xf>
    <xf numFmtId="0" fontId="2" fillId="0" borderId="17" xfId="0" applyFont="1" applyBorder="1" applyAlignment="1">
      <alignment horizontal="left" vertical="center" wrapText="1"/>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0" fontId="2" fillId="0" borderId="12" xfId="0" applyFont="1" applyBorder="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7" xfId="0" applyFont="1"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5" xfId="0" applyFont="1" applyBorder="1" applyAlignment="1">
      <alignment horizontal="justify" vertical="center" wrapText="1"/>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5" xfId="0" applyFont="1" applyBorder="1" applyAlignment="1">
      <alignment horizontal="left"/>
    </xf>
    <xf numFmtId="14" fontId="2" fillId="0" borderId="6" xfId="0" applyNumberFormat="1" applyFont="1" applyBorder="1" applyAlignment="1">
      <alignment horizontal="left"/>
    </xf>
    <xf numFmtId="0" fontId="1" fillId="0" borderId="0" xfId="0" applyFont="1"/>
    <xf numFmtId="0" fontId="7" fillId="0" borderId="6" xfId="2" applyFont="1" applyBorder="1" applyAlignment="1">
      <alignment horizontal="left" vertical="center" wrapText="1"/>
    </xf>
    <xf numFmtId="0" fontId="1" fillId="0" borderId="11" xfId="0" applyFont="1" applyBorder="1" applyAlignment="1">
      <alignment horizontal="center" vertical="top" wrapText="1"/>
    </xf>
    <xf numFmtId="0" fontId="1" fillId="0" borderId="0" xfId="0" applyFont="1" applyAlignment="1">
      <alignment horizontal="center" vertical="top" wrapText="1"/>
    </xf>
    <xf numFmtId="49" fontId="2" fillId="13" borderId="3" xfId="0" applyNumberFormat="1" applyFont="1" applyFill="1" applyBorder="1" applyAlignment="1" applyProtection="1">
      <alignment horizontal="justify" vertical="top" wrapText="1"/>
      <protection locked="0"/>
    </xf>
    <xf numFmtId="49" fontId="2" fillId="13" borderId="4" xfId="0" applyNumberFormat="1" applyFont="1" applyFill="1" applyBorder="1" applyAlignment="1" applyProtection="1">
      <alignment horizontal="justify" vertical="top" wrapText="1"/>
      <protection locked="0"/>
    </xf>
    <xf numFmtId="49" fontId="2" fillId="13" borderId="5" xfId="0" applyNumberFormat="1" applyFont="1" applyFill="1" applyBorder="1" applyAlignment="1" applyProtection="1">
      <alignment horizontal="justify" vertical="top" wrapText="1"/>
      <protection locked="0"/>
    </xf>
    <xf numFmtId="14" fontId="2" fillId="0" borderId="3" xfId="0" applyNumberFormat="1" applyFont="1" applyBorder="1" applyAlignment="1">
      <alignment horizontal="left"/>
    </xf>
    <xf numFmtId="14" fontId="2" fillId="0" borderId="5" xfId="0" applyNumberFormat="1" applyFont="1" applyBorder="1" applyAlignment="1">
      <alignment horizontal="left"/>
    </xf>
    <xf numFmtId="49" fontId="2" fillId="13" borderId="3" xfId="0" applyNumberFormat="1" applyFont="1" applyFill="1" applyBorder="1" applyAlignment="1">
      <alignment horizontal="justify" vertical="top" wrapText="1"/>
    </xf>
    <xf numFmtId="49" fontId="2" fillId="13" borderId="4" xfId="0" applyNumberFormat="1" applyFont="1" applyFill="1" applyBorder="1" applyAlignment="1">
      <alignment horizontal="justify" vertical="top" wrapText="1"/>
    </xf>
    <xf numFmtId="49" fontId="2" fillId="13" borderId="5" xfId="0" applyNumberFormat="1" applyFont="1" applyFill="1" applyBorder="1" applyAlignment="1">
      <alignment horizontal="justify" vertical="top" wrapText="1"/>
    </xf>
    <xf numFmtId="49" fontId="3" fillId="13" borderId="3" xfId="0" applyNumberFormat="1" applyFont="1" applyFill="1" applyBorder="1" applyAlignment="1" applyProtection="1">
      <alignment horizontal="justify" vertical="top" wrapText="1"/>
      <protection locked="0"/>
    </xf>
    <xf numFmtId="49" fontId="3" fillId="13" borderId="3" xfId="0" applyNumberFormat="1" applyFont="1" applyFill="1" applyBorder="1" applyAlignment="1">
      <alignment horizontal="justify" vertical="top" wrapText="1"/>
    </xf>
    <xf numFmtId="0" fontId="11" fillId="5" borderId="0" xfId="0" applyFont="1" applyFill="1" applyAlignment="1">
      <alignment horizontal="center"/>
    </xf>
    <xf numFmtId="0" fontId="5" fillId="0" borderId="0" xfId="0" applyFont="1" applyAlignment="1">
      <alignment horizontal="center"/>
    </xf>
    <xf numFmtId="0" fontId="2" fillId="5" borderId="2" xfId="0" applyFont="1" applyFill="1" applyBorder="1" applyAlignment="1">
      <alignment horizontal="center" vertical="center"/>
    </xf>
    <xf numFmtId="0" fontId="2" fillId="5" borderId="13" xfId="0" applyFont="1" applyFill="1" applyBorder="1" applyAlignment="1">
      <alignment horizontal="center" vertical="center"/>
    </xf>
    <xf numFmtId="0" fontId="3" fillId="0" borderId="0" xfId="0" applyFont="1" applyAlignment="1">
      <alignment horizontal="justify" vertical="center" wrapText="1"/>
    </xf>
    <xf numFmtId="0" fontId="2" fillId="0" borderId="6" xfId="0" applyFont="1" applyBorder="1" applyAlignment="1">
      <alignment horizontal="right"/>
    </xf>
    <xf numFmtId="0" fontId="2" fillId="0" borderId="0" xfId="0" applyFont="1" applyAlignment="1">
      <alignment horizontal="left" vertical="top"/>
    </xf>
    <xf numFmtId="0" fontId="1" fillId="0" borderId="3" xfId="0" applyFont="1" applyBorder="1" applyAlignment="1">
      <alignment horizontal="center"/>
    </xf>
    <xf numFmtId="0" fontId="1" fillId="0" borderId="5" xfId="0" applyFont="1" applyBorder="1" applyAlignment="1">
      <alignment horizontal="center"/>
    </xf>
    <xf numFmtId="0" fontId="5" fillId="0" borderId="0" xfId="0" applyFont="1" applyAlignment="1">
      <alignment horizontal="center" vertical="top" wrapText="1"/>
    </xf>
    <xf numFmtId="0" fontId="12" fillId="0" borderId="6" xfId="0" applyFont="1" applyBorder="1" applyAlignment="1">
      <alignment horizontal="center" vertical="center"/>
    </xf>
    <xf numFmtId="0" fontId="2" fillId="0" borderId="6" xfId="0" applyFont="1" applyBorder="1" applyAlignment="1">
      <alignment horizontal="left" vertical="top" wrapText="1"/>
    </xf>
    <xf numFmtId="0" fontId="1" fillId="0" borderId="6" xfId="0" applyFont="1" applyBorder="1" applyAlignment="1">
      <alignment horizontal="left" vertical="top" wrapText="1"/>
    </xf>
    <xf numFmtId="0" fontId="17" fillId="2" borderId="6" xfId="1" applyFont="1" applyFill="1" applyBorder="1" applyAlignment="1" applyProtection="1">
      <alignment horizontal="center" vertical="center"/>
      <protection locked="0"/>
    </xf>
    <xf numFmtId="0" fontId="17" fillId="2" borderId="6" xfId="1" applyFont="1" applyFill="1" applyBorder="1" applyAlignment="1">
      <alignment horizontal="center" vertical="center"/>
    </xf>
    <xf numFmtId="0" fontId="5" fillId="0" borderId="0" xfId="0" applyFont="1" applyAlignment="1">
      <alignment horizontal="center" vertical="center" wrapText="1"/>
    </xf>
    <xf numFmtId="0" fontId="2" fillId="5" borderId="17" xfId="0" applyFont="1" applyFill="1" applyBorder="1" applyAlignment="1">
      <alignment horizontal="center" vertical="center"/>
    </xf>
    <xf numFmtId="0" fontId="2" fillId="5" borderId="0" xfId="0" applyFont="1" applyFill="1" applyAlignment="1">
      <alignment horizontal="center" vertical="center"/>
    </xf>
    <xf numFmtId="0" fontId="1" fillId="5" borderId="2" xfId="0" applyFont="1" applyFill="1" applyBorder="1" applyAlignment="1">
      <alignment horizontal="center" vertical="center"/>
    </xf>
    <xf numFmtId="0" fontId="1" fillId="5" borderId="15" xfId="0" applyFont="1" applyFill="1" applyBorder="1" applyAlignment="1">
      <alignment horizontal="center" vertical="center"/>
    </xf>
    <xf numFmtId="0" fontId="1" fillId="5" borderId="13" xfId="0" applyFont="1" applyFill="1" applyBorder="1" applyAlignment="1">
      <alignment horizontal="center" vertical="center"/>
    </xf>
    <xf numFmtId="0" fontId="2" fillId="0" borderId="16" xfId="0" applyFont="1" applyBorder="1" applyAlignment="1">
      <alignment horizontal="left"/>
    </xf>
    <xf numFmtId="0" fontId="2" fillId="0" borderId="0" xfId="0" applyFont="1" applyAlignment="1">
      <alignment horizontal="left"/>
    </xf>
    <xf numFmtId="0" fontId="1" fillId="5" borderId="6" xfId="0" applyFont="1" applyFill="1" applyBorder="1" applyAlignment="1">
      <alignment horizontal="center" vertical="center"/>
    </xf>
    <xf numFmtId="0" fontId="7" fillId="2" borderId="3" xfId="0" applyFont="1" applyFill="1" applyBorder="1" applyAlignment="1" applyProtection="1">
      <alignment horizontal="center"/>
      <protection locked="0"/>
    </xf>
    <xf numFmtId="0" fontId="7" fillId="2" borderId="5" xfId="0" applyFont="1" applyFill="1" applyBorder="1" applyAlignment="1" applyProtection="1">
      <alignment horizontal="center"/>
      <protection locked="0"/>
    </xf>
    <xf numFmtId="0" fontId="7" fillId="2" borderId="3" xfId="0" applyFont="1" applyFill="1" applyBorder="1" applyAlignment="1">
      <alignment horizontal="center"/>
    </xf>
    <xf numFmtId="0" fontId="7" fillId="2" borderId="5" xfId="0" applyFont="1" applyFill="1" applyBorder="1" applyAlignment="1">
      <alignment horizontal="center"/>
    </xf>
    <xf numFmtId="0" fontId="7" fillId="4" borderId="3" xfId="0" applyFont="1" applyFill="1" applyBorder="1" applyAlignment="1">
      <alignment horizontal="center"/>
    </xf>
    <xf numFmtId="0" fontId="7" fillId="4" borderId="5" xfId="0" applyFont="1" applyFill="1" applyBorder="1" applyAlignment="1">
      <alignment horizontal="center"/>
    </xf>
    <xf numFmtId="0" fontId="7" fillId="0" borderId="0" xfId="0" applyFont="1" applyAlignment="1" applyProtection="1">
      <alignment horizontal="center"/>
      <protection locked="0"/>
    </xf>
    <xf numFmtId="0" fontId="7" fillId="4" borderId="3" xfId="0" applyFont="1" applyFill="1" applyBorder="1" applyAlignment="1" applyProtection="1">
      <alignment horizontal="center"/>
      <protection locked="0"/>
    </xf>
    <xf numFmtId="0" fontId="7" fillId="4" borderId="5" xfId="0" applyFont="1" applyFill="1" applyBorder="1" applyAlignment="1" applyProtection="1">
      <alignment horizontal="center"/>
      <protection locked="0"/>
    </xf>
    <xf numFmtId="0" fontId="7" fillId="0" borderId="0" xfId="0" applyFont="1" applyAlignment="1">
      <alignment horizontal="center"/>
    </xf>
    <xf numFmtId="0" fontId="2" fillId="0" borderId="0" xfId="0" applyFont="1" applyAlignment="1">
      <alignment horizontal="center" vertical="center"/>
    </xf>
    <xf numFmtId="0" fontId="2" fillId="0" borderId="0" xfId="0" applyFont="1" applyAlignment="1">
      <alignment vertical="top" wrapText="1"/>
    </xf>
    <xf numFmtId="0" fontId="30" fillId="0" borderId="0" xfId="0" applyFont="1" applyAlignment="1">
      <alignment horizontal="left" vertical="top" wrapText="1"/>
    </xf>
    <xf numFmtId="0" fontId="15" fillId="9" borderId="0" xfId="0" applyFont="1" applyFill="1" applyAlignment="1">
      <alignment horizontal="left" vertical="center" wrapText="1"/>
    </xf>
    <xf numFmtId="0" fontId="2" fillId="0" borderId="0" xfId="0" applyFont="1" applyAlignment="1">
      <alignment horizontal="center"/>
    </xf>
    <xf numFmtId="0" fontId="2" fillId="0" borderId="0" xfId="0" applyFont="1" applyAlignment="1" applyProtection="1">
      <alignment horizontal="center"/>
      <protection locked="0"/>
    </xf>
    <xf numFmtId="0" fontId="2" fillId="3" borderId="3" xfId="0" applyFont="1" applyFill="1" applyBorder="1" applyAlignment="1">
      <alignment horizontal="center"/>
    </xf>
    <xf numFmtId="0" fontId="2" fillId="3" borderId="5" xfId="0" applyFont="1" applyFill="1" applyBorder="1" applyAlignment="1">
      <alignment horizontal="center"/>
    </xf>
    <xf numFmtId="0" fontId="1" fillId="0" borderId="0" xfId="0" applyFont="1" applyAlignment="1">
      <alignment horizontal="left" wrapText="1"/>
    </xf>
    <xf numFmtId="0" fontId="2" fillId="3" borderId="3" xfId="0" applyFont="1" applyFill="1" applyBorder="1" applyAlignment="1" applyProtection="1">
      <alignment horizontal="center"/>
      <protection locked="0"/>
    </xf>
    <xf numFmtId="0" fontId="2" fillId="3" borderId="5" xfId="0" applyFont="1" applyFill="1" applyBorder="1" applyAlignment="1" applyProtection="1">
      <alignment horizontal="center"/>
      <protection locked="0"/>
    </xf>
    <xf numFmtId="0" fontId="2" fillId="9" borderId="6" xfId="0" applyFont="1" applyFill="1" applyBorder="1" applyAlignment="1">
      <alignment horizontal="justify" vertical="top" wrapText="1"/>
    </xf>
    <xf numFmtId="0" fontId="1" fillId="9" borderId="3" xfId="0" applyFont="1" applyFill="1" applyBorder="1" applyAlignment="1">
      <alignment horizontal="center" vertical="center"/>
    </xf>
    <xf numFmtId="0" fontId="1" fillId="9" borderId="5" xfId="0" applyFont="1" applyFill="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27" xfId="0" applyFont="1" applyBorder="1" applyAlignment="1">
      <alignment horizontal="center" vertical="center"/>
    </xf>
    <xf numFmtId="0" fontId="2" fillId="0" borderId="26" xfId="0" applyFont="1" applyBorder="1" applyAlignment="1">
      <alignment horizontal="center" vertical="center"/>
    </xf>
    <xf numFmtId="0" fontId="2" fillId="0" borderId="28" xfId="0" applyFont="1" applyBorder="1" applyAlignment="1">
      <alignment horizontal="center" vertical="center"/>
    </xf>
    <xf numFmtId="1" fontId="2" fillId="0" borderId="8" xfId="0" applyNumberFormat="1" applyFont="1" applyBorder="1" applyAlignment="1">
      <alignment horizontal="left" vertical="top" wrapText="1"/>
    </xf>
    <xf numFmtId="1" fontId="2" fillId="0" borderId="9" xfId="0" applyNumberFormat="1" applyFont="1" applyBorder="1" applyAlignment="1">
      <alignment horizontal="left" vertical="top" wrapText="1"/>
    </xf>
    <xf numFmtId="1" fontId="2" fillId="0" borderId="7" xfId="0" applyNumberFormat="1" applyFont="1" applyBorder="1" applyAlignment="1">
      <alignment horizontal="left" vertical="top" wrapText="1"/>
    </xf>
    <xf numFmtId="0" fontId="2" fillId="5" borderId="15" xfId="0" applyFont="1" applyFill="1" applyBorder="1" applyAlignment="1">
      <alignment horizontal="center" vertical="center"/>
    </xf>
    <xf numFmtId="1" fontId="1" fillId="0" borderId="3" xfId="0" applyNumberFormat="1" applyFont="1" applyBorder="1" applyAlignment="1">
      <alignment horizontal="center" vertical="center" wrapText="1"/>
    </xf>
    <xf numFmtId="1" fontId="1" fillId="0" borderId="4" xfId="0" applyNumberFormat="1" applyFont="1" applyBorder="1" applyAlignment="1">
      <alignment horizontal="center" vertical="center" wrapText="1"/>
    </xf>
    <xf numFmtId="1" fontId="1" fillId="0" borderId="5" xfId="0" applyNumberFormat="1" applyFont="1" applyBorder="1" applyAlignment="1">
      <alignment horizontal="center" vertical="center" wrapText="1"/>
    </xf>
    <xf numFmtId="0" fontId="1" fillId="0" borderId="0" xfId="0" applyFont="1" applyAlignment="1">
      <alignment horizontal="right"/>
    </xf>
    <xf numFmtId="0" fontId="2" fillId="3" borderId="0" xfId="0" applyFont="1" applyFill="1" applyAlignment="1">
      <alignment horizontal="justify"/>
    </xf>
    <xf numFmtId="0" fontId="1" fillId="5" borderId="0" xfId="0" applyFont="1" applyFill="1" applyAlignment="1">
      <alignment horizontal="center" wrapText="1"/>
    </xf>
    <xf numFmtId="0" fontId="2" fillId="0" borderId="14" xfId="0" applyFont="1" applyBorder="1" applyAlignment="1">
      <alignment horizontal="center"/>
    </xf>
    <xf numFmtId="0" fontId="2" fillId="3" borderId="3" xfId="0" applyFont="1" applyFill="1" applyBorder="1" applyAlignment="1">
      <alignment horizontal="justify"/>
    </xf>
    <xf numFmtId="0" fontId="2" fillId="3" borderId="4" xfId="0" applyFont="1" applyFill="1" applyBorder="1" applyAlignment="1">
      <alignment horizontal="justify"/>
    </xf>
    <xf numFmtId="0" fontId="2" fillId="3" borderId="5" xfId="0" applyFont="1" applyFill="1" applyBorder="1" applyAlignment="1">
      <alignment horizontal="justify"/>
    </xf>
    <xf numFmtId="0" fontId="5" fillId="0" borderId="19" xfId="0" applyFont="1" applyBorder="1" applyAlignment="1">
      <alignment horizontal="center"/>
    </xf>
    <xf numFmtId="0" fontId="5" fillId="0" borderId="14" xfId="0" applyFont="1" applyBorder="1" applyAlignment="1">
      <alignment horizontal="center"/>
    </xf>
    <xf numFmtId="0" fontId="5" fillId="0" borderId="20" xfId="0" applyFont="1" applyBorder="1" applyAlignment="1">
      <alignment horizontal="center"/>
    </xf>
    <xf numFmtId="0" fontId="1" fillId="0" borderId="21" xfId="0" applyFont="1" applyBorder="1" applyAlignment="1">
      <alignment horizontal="right"/>
    </xf>
    <xf numFmtId="0" fontId="2" fillId="9" borderId="0" xfId="0" applyFont="1" applyFill="1" applyAlignment="1">
      <alignment horizontal="justify"/>
    </xf>
    <xf numFmtId="0" fontId="1" fillId="0" borderId="1" xfId="0" applyFont="1" applyBorder="1" applyAlignment="1">
      <alignment horizontal="center" wrapText="1"/>
    </xf>
    <xf numFmtId="0" fontId="1" fillId="0" borderId="13" xfId="0" applyFont="1" applyBorder="1" applyAlignment="1">
      <alignment horizontal="left" wrapText="1"/>
    </xf>
    <xf numFmtId="0" fontId="1" fillId="0" borderId="13" xfId="0" applyFont="1" applyBorder="1" applyAlignment="1">
      <alignment horizontal="center" wrapText="1"/>
    </xf>
    <xf numFmtId="0" fontId="2" fillId="0" borderId="6" xfId="0" applyFont="1" applyBorder="1" applyAlignment="1">
      <alignment horizontal="left" wrapText="1"/>
    </xf>
    <xf numFmtId="0" fontId="2" fillId="0" borderId="6" xfId="0" applyFont="1" applyBorder="1" applyAlignment="1">
      <alignment horizontal="center" wrapText="1"/>
    </xf>
    <xf numFmtId="0" fontId="2" fillId="0" borderId="34" xfId="0" applyFont="1" applyBorder="1" applyAlignment="1">
      <alignment horizontal="left" vertical="top" wrapText="1"/>
    </xf>
    <xf numFmtId="0" fontId="2" fillId="0" borderId="34" xfId="0" applyFont="1" applyBorder="1" applyAlignment="1">
      <alignment horizontal="left" vertical="center" wrapText="1"/>
    </xf>
    <xf numFmtId="0" fontId="2" fillId="0" borderId="36" xfId="0" applyFont="1" applyBorder="1" applyAlignment="1">
      <alignment horizontal="left" vertical="top" wrapText="1"/>
    </xf>
    <xf numFmtId="0" fontId="2" fillId="0" borderId="37" xfId="0" applyFont="1" applyBorder="1" applyAlignment="1">
      <alignment horizontal="left" vertical="top" wrapText="1"/>
    </xf>
    <xf numFmtId="0" fontId="2" fillId="0" borderId="38" xfId="0" applyFont="1" applyBorder="1" applyAlignment="1">
      <alignment horizontal="left" vertical="top" wrapText="1"/>
    </xf>
    <xf numFmtId="0" fontId="2" fillId="3" borderId="3" xfId="0" applyFont="1" applyFill="1" applyBorder="1" applyAlignment="1" applyProtection="1">
      <alignment horizontal="justify"/>
      <protection locked="0"/>
    </xf>
    <xf numFmtId="0" fontId="2" fillId="3" borderId="4" xfId="0" applyFont="1" applyFill="1" applyBorder="1" applyAlignment="1" applyProtection="1">
      <alignment horizontal="justify"/>
      <protection locked="0"/>
    </xf>
    <xf numFmtId="0" fontId="2" fillId="3" borderId="5" xfId="0" applyFont="1" applyFill="1" applyBorder="1" applyAlignment="1" applyProtection="1">
      <alignment horizontal="justify"/>
      <protection locked="0"/>
    </xf>
    <xf numFmtId="0" fontId="2" fillId="3" borderId="3" xfId="0" applyFont="1" applyFill="1" applyBorder="1" applyAlignment="1" applyProtection="1">
      <alignment horizontal="justify" wrapText="1"/>
      <protection locked="0"/>
    </xf>
    <xf numFmtId="0" fontId="2" fillId="0" borderId="0" xfId="0" applyFont="1" applyAlignment="1">
      <alignment wrapText="1"/>
    </xf>
    <xf numFmtId="0" fontId="1" fillId="5" borderId="0" xfId="0" applyFont="1" applyFill="1" applyAlignment="1">
      <alignment horizontal="center" vertical="top"/>
    </xf>
    <xf numFmtId="0" fontId="2" fillId="0" borderId="27" xfId="0" applyFont="1" applyBorder="1" applyAlignment="1">
      <alignment horizontal="left" vertical="top" wrapText="1"/>
    </xf>
    <xf numFmtId="0" fontId="2" fillId="0" borderId="26" xfId="0" applyFont="1" applyBorder="1" applyAlignment="1">
      <alignment horizontal="left" vertical="top" wrapText="1"/>
    </xf>
    <xf numFmtId="0" fontId="2" fillId="0" borderId="33" xfId="0" applyFont="1" applyBorder="1" applyAlignment="1">
      <alignment horizontal="left" vertical="top" wrapText="1"/>
    </xf>
    <xf numFmtId="0" fontId="5" fillId="0" borderId="14" xfId="0" applyFont="1" applyBorder="1" applyAlignment="1">
      <alignment horizontal="center" vertical="center"/>
    </xf>
    <xf numFmtId="0" fontId="5" fillId="0" borderId="1" xfId="0" applyFont="1" applyBorder="1" applyAlignment="1">
      <alignment horizontal="center" vertical="center"/>
    </xf>
    <xf numFmtId="0" fontId="29" fillId="12" borderId="16" xfId="0" quotePrefix="1" applyFont="1" applyFill="1" applyBorder="1" applyAlignment="1">
      <alignment horizontal="center"/>
    </xf>
    <xf numFmtId="0" fontId="29" fillId="12" borderId="0" xfId="0" quotePrefix="1" applyFont="1" applyFill="1" applyAlignment="1">
      <alignment horizontal="center"/>
    </xf>
    <xf numFmtId="0" fontId="2" fillId="0" borderId="50" xfId="0" applyFont="1" applyBorder="1" applyAlignment="1">
      <alignment horizontal="left" vertical="center" wrapText="1"/>
    </xf>
    <xf numFmtId="0" fontId="2" fillId="0" borderId="14" xfId="0" applyFont="1" applyBorder="1" applyAlignment="1">
      <alignment horizontal="left" vertical="center" wrapText="1"/>
    </xf>
    <xf numFmtId="0" fontId="5" fillId="0" borderId="18" xfId="0" applyFont="1" applyBorder="1" applyAlignment="1">
      <alignment horizontal="center" vertical="center"/>
    </xf>
    <xf numFmtId="0" fontId="1" fillId="0" borderId="49" xfId="0" applyFont="1" applyBorder="1" applyAlignment="1">
      <alignment horizontal="center" vertical="center"/>
    </xf>
    <xf numFmtId="0" fontId="1" fillId="0" borderId="47" xfId="0" applyFont="1" applyBorder="1" applyAlignment="1">
      <alignment horizontal="center" vertical="center"/>
    </xf>
    <xf numFmtId="0" fontId="2" fillId="0" borderId="46" xfId="0" applyFont="1" applyBorder="1" applyAlignment="1">
      <alignment horizontal="left" vertical="center" wrapText="1"/>
    </xf>
    <xf numFmtId="0" fontId="2" fillId="0" borderId="36" xfId="0" applyFont="1" applyBorder="1" applyAlignment="1">
      <alignment horizontal="left" vertical="center" wrapText="1"/>
    </xf>
    <xf numFmtId="0" fontId="2" fillId="0" borderId="44" xfId="0" applyFont="1" applyBorder="1" applyAlignment="1">
      <alignment horizontal="left" vertical="center" wrapText="1"/>
    </xf>
    <xf numFmtId="0" fontId="2" fillId="0" borderId="43" xfId="0" applyFont="1" applyBorder="1" applyAlignment="1">
      <alignment horizontal="left" vertical="center" wrapText="1"/>
    </xf>
    <xf numFmtId="0" fontId="2" fillId="0" borderId="45"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wrapText="1"/>
    </xf>
    <xf numFmtId="0" fontId="5" fillId="0" borderId="0" xfId="0" applyFont="1" applyAlignment="1">
      <alignment horizontal="center" wrapText="1"/>
    </xf>
    <xf numFmtId="0" fontId="2" fillId="3" borderId="3" xfId="0" applyFont="1" applyFill="1" applyBorder="1" applyAlignment="1">
      <alignment horizontal="left"/>
    </xf>
    <xf numFmtId="0" fontId="2" fillId="3" borderId="4" xfId="0" applyFont="1" applyFill="1" applyBorder="1" applyAlignment="1">
      <alignment horizontal="left"/>
    </xf>
    <xf numFmtId="0" fontId="2" fillId="3" borderId="5" xfId="0" applyFont="1" applyFill="1" applyBorder="1" applyAlignment="1">
      <alignment horizontal="left"/>
    </xf>
    <xf numFmtId="10" fontId="2" fillId="0" borderId="3" xfId="4" applyNumberFormat="1" applyFont="1" applyBorder="1" applyAlignment="1" applyProtection="1">
      <alignment horizontal="center"/>
    </xf>
    <xf numFmtId="10" fontId="2" fillId="0" borderId="5" xfId="4" applyNumberFormat="1" applyFont="1" applyBorder="1" applyAlignment="1" applyProtection="1">
      <alignment horizontal="center"/>
    </xf>
    <xf numFmtId="0" fontId="6" fillId="0" borderId="0" xfId="0" applyFont="1" applyAlignment="1">
      <alignment horizontal="center"/>
    </xf>
    <xf numFmtId="0" fontId="2" fillId="5" borderId="0" xfId="0" applyFont="1" applyFill="1" applyAlignment="1">
      <alignment horizontal="center"/>
    </xf>
    <xf numFmtId="0" fontId="2" fillId="3" borderId="3" xfId="0" applyFont="1" applyFill="1" applyBorder="1" applyAlignment="1" applyProtection="1">
      <alignment horizontal="left"/>
      <protection locked="0"/>
    </xf>
    <xf numFmtId="0" fontId="2" fillId="3" borderId="4" xfId="0" applyFont="1" applyFill="1" applyBorder="1" applyAlignment="1" applyProtection="1">
      <alignment horizontal="left"/>
      <protection locked="0"/>
    </xf>
    <xf numFmtId="0" fontId="2" fillId="3" borderId="5" xfId="0" applyFont="1" applyFill="1" applyBorder="1" applyAlignment="1" applyProtection="1">
      <alignment horizontal="left"/>
      <protection locked="0"/>
    </xf>
    <xf numFmtId="0" fontId="1" fillId="5" borderId="0" xfId="0" applyFont="1" applyFill="1" applyAlignment="1">
      <alignment horizontal="center"/>
    </xf>
    <xf numFmtId="0" fontId="2" fillId="0" borderId="3" xfId="0" applyFont="1" applyBorder="1"/>
    <xf numFmtId="0" fontId="2" fillId="0" borderId="4" xfId="0" applyFont="1" applyBorder="1"/>
    <xf numFmtId="0" fontId="2" fillId="0" borderId="5" xfId="0" applyFont="1" applyBorder="1"/>
    <xf numFmtId="0" fontId="7" fillId="0" borderId="0" xfId="0" applyFont="1" applyAlignment="1">
      <alignment horizontal="left" vertical="top" wrapText="1"/>
    </xf>
    <xf numFmtId="0" fontId="7" fillId="0" borderId="0" xfId="0" applyFont="1" applyAlignment="1">
      <alignment horizontal="left" vertical="top" wrapText="1" indent="1"/>
    </xf>
    <xf numFmtId="0" fontId="7" fillId="0" borderId="0" xfId="0" applyFont="1" applyAlignment="1">
      <alignment horizontal="center" vertical="top" wrapText="1"/>
    </xf>
    <xf numFmtId="0" fontId="37" fillId="0" borderId="0" xfId="0" applyFont="1" applyAlignment="1">
      <alignment horizontal="left" vertical="top" wrapText="1"/>
    </xf>
    <xf numFmtId="0" fontId="34" fillId="0" borderId="0" xfId="0" applyFont="1" applyAlignment="1">
      <alignment horizontal="center" wrapText="1"/>
    </xf>
    <xf numFmtId="0" fontId="8" fillId="0" borderId="6" xfId="0" applyFont="1" applyBorder="1" applyAlignment="1">
      <alignment horizontal="left" vertical="top" wrapText="1"/>
    </xf>
    <xf numFmtId="0" fontId="2" fillId="3" borderId="6" xfId="0" applyFont="1" applyFill="1" applyBorder="1" applyAlignment="1" applyProtection="1">
      <alignment horizontal="left"/>
      <protection locked="0"/>
    </xf>
    <xf numFmtId="0" fontId="2" fillId="3" borderId="6" xfId="0" applyFont="1" applyFill="1" applyBorder="1" applyAlignment="1">
      <alignment horizontal="left"/>
    </xf>
    <xf numFmtId="0" fontId="1" fillId="0" borderId="1" xfId="0" applyFont="1" applyBorder="1" applyAlignment="1">
      <alignment horizontal="center" vertical="top" wrapText="1"/>
    </xf>
    <xf numFmtId="9" fontId="2" fillId="0" borderId="6" xfId="0" applyNumberFormat="1" applyFont="1" applyBorder="1" applyAlignment="1">
      <alignment horizontal="center" vertical="top" wrapText="1"/>
    </xf>
    <xf numFmtId="0" fontId="1" fillId="0" borderId="45" xfId="0" applyFont="1" applyBorder="1" applyAlignment="1">
      <alignment horizontal="center" vertical="top" wrapText="1"/>
    </xf>
    <xf numFmtId="0" fontId="2" fillId="0" borderId="6" xfId="0" applyFont="1" applyBorder="1" applyAlignment="1">
      <alignment horizontal="center" vertical="top" wrapText="1"/>
    </xf>
    <xf numFmtId="0" fontId="2" fillId="0" borderId="0" xfId="0" applyFont="1" applyAlignment="1">
      <alignment horizontal="left" vertical="top" wrapText="1" indent="1"/>
    </xf>
    <xf numFmtId="0" fontId="5" fillId="0" borderId="16" xfId="0" applyFont="1" applyBorder="1" applyAlignment="1">
      <alignment horizontal="center" vertical="center" wrapText="1"/>
    </xf>
    <xf numFmtId="0" fontId="17" fillId="2" borderId="3" xfId="1" applyFont="1" applyFill="1" applyBorder="1" applyAlignment="1" applyProtection="1">
      <alignment horizontal="center" vertical="center"/>
      <protection locked="0"/>
    </xf>
    <xf numFmtId="0" fontId="17" fillId="2" borderId="4" xfId="1" applyFont="1" applyFill="1" applyBorder="1" applyAlignment="1" applyProtection="1">
      <alignment horizontal="center" vertical="center"/>
      <protection locked="0"/>
    </xf>
    <xf numFmtId="0" fontId="17" fillId="2" borderId="5" xfId="1" applyFont="1" applyFill="1" applyBorder="1" applyAlignment="1" applyProtection="1">
      <alignment horizontal="center" vertical="center"/>
      <protection locked="0"/>
    </xf>
    <xf numFmtId="0" fontId="5" fillId="0" borderId="9" xfId="0" applyFont="1" applyBorder="1" applyAlignment="1">
      <alignment horizontal="center"/>
    </xf>
    <xf numFmtId="0" fontId="2" fillId="0" borderId="3" xfId="0" applyFont="1" applyBorder="1" applyAlignment="1">
      <alignment vertical="center" wrapText="1"/>
    </xf>
    <xf numFmtId="0" fontId="2" fillId="0" borderId="4" xfId="0" applyFont="1" applyBorder="1" applyAlignment="1">
      <alignment vertical="center" wrapText="1"/>
    </xf>
    <xf numFmtId="0" fontId="2" fillId="0" borderId="5" xfId="0" applyFont="1" applyBorder="1" applyAlignment="1">
      <alignmen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3" fillId="0" borderId="14" xfId="0" applyFont="1" applyBorder="1" applyAlignment="1">
      <alignment horizontal="center"/>
    </xf>
  </cellXfs>
  <cellStyles count="6">
    <cellStyle name="Currency" xfId="5" builtinId="4"/>
    <cellStyle name="Normal" xfId="0" builtinId="0"/>
    <cellStyle name="Normal 4" xfId="2" xr:uid="{00000000-0005-0000-0000-000001000000}"/>
    <cellStyle name="Normal 5" xfId="1" xr:uid="{00000000-0005-0000-0000-000002000000}"/>
    <cellStyle name="Normal 7" xfId="3" xr:uid="{00000000-0005-0000-0000-000003000000}"/>
    <cellStyle name="Percent" xfId="4" builtinId="5"/>
  </cellStyles>
  <dxfs count="66">
    <dxf>
      <border>
        <left style="thin">
          <color auto="1"/>
        </left>
        <right style="thin">
          <color auto="1"/>
        </right>
        <top style="thin">
          <color auto="1"/>
        </top>
        <bottom style="thin">
          <color auto="1"/>
        </bottom>
      </border>
    </dxf>
    <dxf>
      <fill>
        <patternFill>
          <bgColor theme="1"/>
        </patternFill>
      </fill>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3" tint="0.79998168889431442"/>
        </patternFill>
      </fill>
      <border>
        <left style="thin">
          <color auto="1"/>
        </left>
        <right style="thin">
          <color auto="1"/>
        </right>
        <top style="thin">
          <color auto="1"/>
        </top>
        <bottom style="thin">
          <color auto="1"/>
        </bottom>
        <vertical/>
        <horizontal/>
      </border>
    </dxf>
    <dxf>
      <fill>
        <patternFill>
          <bgColor theme="3" tint="0.79998168889431442"/>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1"/>
        </patternFill>
      </fill>
    </dxf>
    <dxf>
      <fill>
        <patternFill>
          <bgColor theme="3" tint="0.79998168889431442"/>
        </patternFill>
      </fill>
      <border>
        <left style="thin">
          <color auto="1"/>
        </left>
        <right style="thin">
          <color auto="1"/>
        </right>
        <top style="thin">
          <color auto="1"/>
        </top>
        <bottom style="thin">
          <color auto="1"/>
        </bottom>
        <vertical/>
        <horizontal/>
      </border>
    </dxf>
    <dxf>
      <fill>
        <patternFill>
          <bgColor theme="3" tint="0.79998168889431442"/>
        </patternFill>
      </fill>
      <border>
        <left style="thin">
          <color auto="1"/>
        </left>
        <right style="thin">
          <color auto="1"/>
        </right>
        <top style="thin">
          <color auto="1"/>
        </top>
        <bottom style="thin">
          <color auto="1"/>
        </bottom>
        <vertical/>
        <horizontal/>
      </border>
    </dxf>
    <dxf>
      <fill>
        <patternFill>
          <bgColor theme="3" tint="0.79998168889431442"/>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b/>
        <i val="0"/>
        <color rgb="FFFF0000"/>
      </font>
    </dxf>
    <dxf>
      <font>
        <b/>
        <i val="0"/>
        <color rgb="FFFF0000"/>
      </font>
    </dxf>
    <dxf>
      <fill>
        <patternFill>
          <bgColor theme="5" tint="0.3999450666829432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5" tint="0.3999450666829432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5" tint="0.3999450666829432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FF00"/>
        </patternFill>
      </fill>
    </dxf>
    <dxf>
      <fill>
        <patternFill>
          <bgColor rgb="FFFFFF00"/>
        </patternFill>
      </fill>
      <border>
        <left style="thin">
          <color auto="1"/>
        </left>
        <right style="thin">
          <color auto="1"/>
        </right>
        <top style="thin">
          <color auto="1"/>
        </top>
        <bottom style="thin">
          <color auto="1"/>
        </bottom>
        <vertical/>
        <horizontal/>
      </border>
    </dxf>
    <dxf>
      <fill>
        <patternFill>
          <bgColor rgb="FFFFFF00"/>
        </patternFill>
      </fill>
    </dxf>
    <dxf>
      <fill>
        <patternFill>
          <bgColor rgb="FFFFFF00"/>
        </patternFill>
      </fill>
    </dxf>
    <dxf>
      <fill>
        <patternFill>
          <bgColor rgb="FFFFFF00"/>
        </patternFill>
      </fill>
      <border>
        <left style="thin">
          <color auto="1"/>
        </left>
        <right style="thin">
          <color auto="1"/>
        </right>
        <top style="thin">
          <color auto="1"/>
        </top>
        <bottom style="thin">
          <color auto="1"/>
        </bottom>
        <vertical/>
        <horizontal/>
      </border>
    </dxf>
  </dxfs>
  <tableStyles count="0" defaultTableStyle="TableStyleMedium2" defaultPivotStyle="PivotStyleMedium9"/>
  <colors>
    <mruColors>
      <color rgb="FFF2F2F2"/>
      <color rgb="FFDDD9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1.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pryor\Downloads\ScoringCertifications-2016-17%20KP.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ScoringCertifications-2018-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ummary"/>
      <sheetName val="Scoring Checklist"/>
      <sheetName val="Notes"/>
      <sheetName val="15A1"/>
      <sheetName val="15A2"/>
      <sheetName val="15A3"/>
      <sheetName val="15A4"/>
      <sheetName val="15B1"/>
      <sheetName val="15B2"/>
      <sheetName val="15C1"/>
      <sheetName val="15C2a"/>
      <sheetName val="15C2b"/>
      <sheetName val="15C3"/>
      <sheetName val="15C4"/>
      <sheetName val="15C5"/>
      <sheetName val="15C6"/>
      <sheetName val="15D1"/>
      <sheetName val="15D2"/>
      <sheetName val="15D3"/>
      <sheetName val="15E1"/>
      <sheetName val="15E2"/>
      <sheetName val="15F1"/>
      <sheetName val="15F2"/>
      <sheetName val="15F3"/>
      <sheetName val="15F4"/>
      <sheetName val="EUA Restrictions"/>
    </sheetNames>
    <sheetDataSet>
      <sheetData sheetId="0" refreshError="1"/>
      <sheetData sheetId="1"/>
      <sheetData sheetId="2" refreshError="1"/>
      <sheetData sheetId="3" refreshError="1"/>
      <sheetData sheetId="4">
        <row r="22">
          <cell r="O22" t="str">
            <v>M</v>
          </cell>
          <cell r="P22">
            <v>1.1000000000000001</v>
          </cell>
          <cell r="Q22" t="str">
            <v>Accessible route of travel to dwelling from public sidewalk or thoroughfare to primary entrance.</v>
          </cell>
        </row>
        <row r="23">
          <cell r="O23"/>
          <cell r="P23">
            <v>1.2</v>
          </cell>
          <cell r="Q23" t="str">
            <v>No-step entry (1/2” or less threshold)</v>
          </cell>
        </row>
        <row r="24">
          <cell r="O24" t="str">
            <v>X</v>
          </cell>
          <cell r="P24">
            <v>1.3</v>
          </cell>
          <cell r="Q24" t="str">
            <v>Accessible landscaping of at least one side yard and rear yard</v>
          </cell>
        </row>
        <row r="25">
          <cell r="O25"/>
          <cell r="P25">
            <v>1.4</v>
          </cell>
          <cell r="Q25" t="str">
            <v>Accessible route from garage/parking to home’s primary entry</v>
          </cell>
        </row>
        <row r="26">
          <cell r="O26"/>
          <cell r="P26">
            <v>1.5</v>
          </cell>
          <cell r="Q26" t="str">
            <v>Nonslip surfaces on walk and driveways with ice and snow melt systems.</v>
          </cell>
        </row>
        <row r="28">
          <cell r="O28" t="str">
            <v>X</v>
          </cell>
          <cell r="P28">
            <v>2.1</v>
          </cell>
          <cell r="Q28" t="str">
            <v>Minimum 32” clear primary entry doorway</v>
          </cell>
        </row>
        <row r="29">
          <cell r="O29"/>
          <cell r="P29">
            <v>2.2000000000000002</v>
          </cell>
          <cell r="Q29" t="str">
            <v>Primary entry accessible internal/external maneuvering clearances, hardware, thresholds, and strike edge clearances</v>
          </cell>
        </row>
        <row r="30">
          <cell r="O30"/>
          <cell r="P30">
            <v>2.2999999999999998</v>
          </cell>
          <cell r="Q30" t="str">
            <v>Minimum 32” clear secondary entry doorway</v>
          </cell>
        </row>
        <row r="31">
          <cell r="O31" t="str">
            <v>X</v>
          </cell>
          <cell r="P31">
            <v>2.4</v>
          </cell>
          <cell r="Q31" t="str">
            <v>Secondary entry accessible internal/external maneuvering clearances, hardware, thresholds, and strike edge clearances</v>
          </cell>
        </row>
        <row r="32">
          <cell r="O32"/>
          <cell r="P32">
            <v>2.5</v>
          </cell>
          <cell r="Q32" t="str">
            <v>Primary entry accessible/dual peephole and back lit doorbell</v>
          </cell>
        </row>
        <row r="33">
          <cell r="O33"/>
          <cell r="P33">
            <v>2.6</v>
          </cell>
          <cell r="Q33" t="str">
            <v>Accessible sliding glass door and threshold height</v>
          </cell>
        </row>
        <row r="34">
          <cell r="O34"/>
          <cell r="P34">
            <v>2.7</v>
          </cell>
          <cell r="Q34" t="str">
            <v>Weather-sheltered entry area</v>
          </cell>
        </row>
        <row r="36">
          <cell r="O36"/>
          <cell r="P36">
            <v>3.1</v>
          </cell>
          <cell r="Q36" t="str">
            <v>Accessible route of travel to at least one bathroom/powder room, kitchen, and common room</v>
          </cell>
        </row>
        <row r="37">
          <cell r="O37"/>
          <cell r="P37">
            <v>3.2</v>
          </cell>
          <cell r="Q37" t="str">
            <v>42” wide hallways/maneuvering clearances with 32” clear doorways on accessible route</v>
          </cell>
        </row>
        <row r="38">
          <cell r="O38"/>
          <cell r="P38">
            <v>3.3</v>
          </cell>
          <cell r="Q38" t="str">
            <v>All interior door handles are lever style.</v>
          </cell>
        </row>
        <row r="39">
          <cell r="O39"/>
          <cell r="P39">
            <v>3.4</v>
          </cell>
          <cell r="Q39" t="str">
            <v>Accessible hardware, strike edge clearance, and thresholds for accessible doorways</v>
          </cell>
        </row>
        <row r="40">
          <cell r="O40"/>
          <cell r="P40">
            <v>3.5</v>
          </cell>
          <cell r="Q40" t="str">
            <v>Light switches, electric receptacles, and environmental and alarm controls at accessible heights on accessible route/rooms</v>
          </cell>
        </row>
        <row r="41">
          <cell r="O41"/>
          <cell r="P41">
            <v>3.6</v>
          </cell>
          <cell r="Q41" t="str">
            <v>Rocker light switches/controls on accessible route/rooms</v>
          </cell>
        </row>
        <row r="42">
          <cell r="O42"/>
          <cell r="P42">
            <v>3.7</v>
          </cell>
          <cell r="Q42" t="str">
            <v>Visual smoke/fire/carbon monoxide alarm</v>
          </cell>
        </row>
        <row r="43">
          <cell r="O43"/>
          <cell r="P43">
            <v>3.8</v>
          </cell>
          <cell r="Q43" t="str">
            <v>Audio and visual doorbell</v>
          </cell>
        </row>
        <row r="44">
          <cell r="O44"/>
          <cell r="P44">
            <v>3.9</v>
          </cell>
          <cell r="Q44" t="str">
            <v>Audio and visual security alarm</v>
          </cell>
        </row>
        <row r="45">
          <cell r="O45"/>
          <cell r="P45" t="str">
            <v>3.10</v>
          </cell>
          <cell r="Q45" t="str">
            <v>Closets on accessible route: adjustable (36”-60”) rods/shelves</v>
          </cell>
        </row>
        <row r="46">
          <cell r="O46"/>
          <cell r="P46">
            <v>3.11</v>
          </cell>
          <cell r="Q46" t="str">
            <v>Nonslip carpet/floor for accessible route (Low pile carpet less than 1/2" thick)</v>
          </cell>
        </row>
        <row r="47">
          <cell r="O47"/>
          <cell r="P47">
            <v>3.12</v>
          </cell>
          <cell r="Q47" t="str">
            <v>Handrail reinforcement (1 side) provided in all accessible routes of travel/rooms over 4 feet long</v>
          </cell>
        </row>
        <row r="49">
          <cell r="O49"/>
          <cell r="P49">
            <v>4.0999999999999996</v>
          </cell>
          <cell r="Q49" t="str">
            <v>At least one kitchen on accessible route of travel</v>
          </cell>
        </row>
        <row r="51">
          <cell r="O51"/>
          <cell r="P51" t="str">
            <v>4.2a</v>
          </cell>
          <cell r="Q51" t="str">
            <v>Stove (specify 30”x48” or greater)</v>
          </cell>
        </row>
        <row r="52">
          <cell r="O52"/>
          <cell r="P52" t="str">
            <v>4.2b</v>
          </cell>
          <cell r="Q52" t="str">
            <v>Refrigerator (specify 30”x48” or greater)</v>
          </cell>
        </row>
        <row r="53">
          <cell r="O53"/>
          <cell r="P53" t="str">
            <v>4.2c</v>
          </cell>
          <cell r="Q53" t="str">
            <v>Dishwasher (specify 30”x48” or greater)</v>
          </cell>
        </row>
        <row r="54">
          <cell r="O54"/>
          <cell r="P54" t="str">
            <v>4.2d</v>
          </cell>
          <cell r="Q54" t="str">
            <v>Sink (specify 30”x48” or greater)</v>
          </cell>
        </row>
        <row r="55">
          <cell r="O55"/>
          <cell r="P55" t="str">
            <v>4.2e</v>
          </cell>
          <cell r="Q55" t="str">
            <v>Oven (if separate) (specify 30”x48” or greater)</v>
          </cell>
        </row>
        <row r="56">
          <cell r="O56"/>
          <cell r="P56" t="str">
            <v>4.2f</v>
          </cell>
          <cell r="Q56" t="str">
            <v>U-shaped kitchen space requirements</v>
          </cell>
        </row>
        <row r="57">
          <cell r="O57"/>
          <cell r="P57" t="str">
            <v>4.2g</v>
          </cell>
          <cell r="Q57" t="str">
            <v>Other (specify 30”x48” or greater)</v>
          </cell>
        </row>
        <row r="59">
          <cell r="O59"/>
          <cell r="P59" t="str">
            <v>4.3a</v>
          </cell>
          <cell r="Q59" t="str">
            <v>Stove</v>
          </cell>
        </row>
        <row r="60">
          <cell r="O60"/>
          <cell r="P60" t="str">
            <v>4.3b</v>
          </cell>
          <cell r="Q60" t="str">
            <v>Refrigerator</v>
          </cell>
        </row>
        <row r="61">
          <cell r="O61"/>
          <cell r="P61" t="str">
            <v>4.3c</v>
          </cell>
          <cell r="Q61" t="str">
            <v>Dishwasher</v>
          </cell>
        </row>
        <row r="62">
          <cell r="O62"/>
          <cell r="P62" t="str">
            <v>4.3d</v>
          </cell>
          <cell r="Q62" t="str">
            <v>Sink</v>
          </cell>
        </row>
        <row r="63">
          <cell r="O63"/>
          <cell r="P63" t="str">
            <v>4.3e</v>
          </cell>
          <cell r="Q63" t="str">
            <v>Microwave/receptacle at countertop height</v>
          </cell>
        </row>
        <row r="65">
          <cell r="O65"/>
          <cell r="P65" t="str">
            <v>4.4a</v>
          </cell>
          <cell r="Q65" t="str">
            <v>All or a specified portion repositionable</v>
          </cell>
        </row>
        <row r="66">
          <cell r="O66"/>
          <cell r="P66" t="str">
            <v>4.4b</v>
          </cell>
          <cell r="Q66" t="str">
            <v>One or more counter areas at 30” wide and 28”-32” high</v>
          </cell>
        </row>
        <row r="67">
          <cell r="O67"/>
          <cell r="P67" t="str">
            <v>4.4c</v>
          </cell>
          <cell r="Q67" t="str">
            <v>One or more workspaces at 30” wide with knee/toe space</v>
          </cell>
        </row>
        <row r="69">
          <cell r="O69"/>
          <cell r="P69" t="str">
            <v>4.5a</v>
          </cell>
          <cell r="Q69" t="str">
            <v>Base cabinets: pull-out and/or Lazy Susan shelves</v>
          </cell>
        </row>
        <row r="70">
          <cell r="O70"/>
          <cell r="P70" t="str">
            <v>4.5b</v>
          </cell>
          <cell r="Q70" t="str">
            <v>Additional under-cabinet lighting</v>
          </cell>
        </row>
        <row r="71">
          <cell r="O71"/>
          <cell r="P71" t="str">
            <v>4.5c</v>
          </cell>
          <cell r="Q71" t="str">
            <v>Accessible handles//touch latches for doors/drawers</v>
          </cell>
        </row>
        <row r="73">
          <cell r="O73"/>
          <cell r="P73" t="str">
            <v>4.6a</v>
          </cell>
          <cell r="Q73" t="str">
            <v>Repositionable height</v>
          </cell>
        </row>
        <row r="74">
          <cell r="O74"/>
          <cell r="P74" t="str">
            <v>4.6b</v>
          </cell>
          <cell r="Q74" t="str">
            <v>Removable base cabinets under sink</v>
          </cell>
        </row>
        <row r="75">
          <cell r="O75"/>
          <cell r="P75" t="str">
            <v>4.6c</v>
          </cell>
          <cell r="Q75" t="str">
            <v>Single-handle lever faucet</v>
          </cell>
        </row>
        <row r="76">
          <cell r="O76"/>
          <cell r="P76" t="str">
            <v>4.6d</v>
          </cell>
          <cell r="Q76" t="str">
            <v>Anti-scald device</v>
          </cell>
        </row>
        <row r="78">
          <cell r="O78"/>
          <cell r="P78" t="str">
            <v>4.7a</v>
          </cell>
          <cell r="Q78" t="str">
            <v>Edge border of cabinets/counters</v>
          </cell>
        </row>
        <row r="79">
          <cell r="O79"/>
          <cell r="P79" t="str">
            <v>4.7b</v>
          </cell>
          <cell r="Q79" t="str">
            <v>Flooring: in front of appliances</v>
          </cell>
        </row>
        <row r="80">
          <cell r="O80"/>
          <cell r="P80" t="str">
            <v>4.7c</v>
          </cell>
          <cell r="Q80" t="str">
            <v>Flooring: on route of travel</v>
          </cell>
        </row>
        <row r="82">
          <cell r="O82"/>
          <cell r="P82">
            <v>5.0999999999999996</v>
          </cell>
          <cell r="Q82" t="str">
            <v>At least one full bathroom on accessible route of travel</v>
          </cell>
        </row>
        <row r="84">
          <cell r="O84"/>
          <cell r="P84" t="str">
            <v>5.2a</v>
          </cell>
          <cell r="Q84" t="str">
            <v>Maneuvering space diameter: 30” x 48” turning area or 60” diameter turning area</v>
          </cell>
        </row>
        <row r="85">
          <cell r="O85"/>
          <cell r="P85" t="str">
            <v>5.2b</v>
          </cell>
          <cell r="Q85" t="str">
            <v>Clear space for toilet and sink: 30” x 48” clear use area</v>
          </cell>
        </row>
        <row r="86">
          <cell r="Q86" t="str">
            <v>Bathtub and/or shower</v>
          </cell>
        </row>
        <row r="87">
          <cell r="O87"/>
          <cell r="P87" t="str">
            <v>5.3a</v>
          </cell>
          <cell r="Q87" t="str">
            <v>Standard bathtub or shower with grab bar reinforcement</v>
          </cell>
        </row>
        <row r="88">
          <cell r="O88"/>
          <cell r="P88" t="str">
            <v>5.3b</v>
          </cell>
          <cell r="Q88" t="str">
            <v>Standard bathtub or shower with grab bars</v>
          </cell>
        </row>
        <row r="89">
          <cell r="O89"/>
          <cell r="P89" t="str">
            <v>5.3c</v>
          </cell>
          <cell r="Q89" t="str">
            <v>Accessible (roll-in) shower</v>
          </cell>
        </row>
        <row r="90">
          <cell r="O90"/>
          <cell r="P90" t="str">
            <v>5.3d</v>
          </cell>
          <cell r="Q90" t="str">
            <v>Single-handle lever faucets</v>
          </cell>
        </row>
        <row r="91">
          <cell r="O91"/>
          <cell r="P91" t="str">
            <v>5.3e</v>
          </cell>
          <cell r="Q91" t="str">
            <v>Offset controls for exterior use</v>
          </cell>
        </row>
        <row r="93">
          <cell r="O93"/>
          <cell r="P93" t="str">
            <v>5.4a</v>
          </cell>
          <cell r="Q93" t="str">
            <v xml:space="preserve"> Standard toilet with grab bar reinforcement</v>
          </cell>
        </row>
        <row r="94">
          <cell r="O94"/>
          <cell r="P94" t="str">
            <v>5.4b</v>
          </cell>
          <cell r="Q94" t="str">
            <v xml:space="preserve"> Standard toilet with grab bars</v>
          </cell>
        </row>
        <row r="95">
          <cell r="O95"/>
          <cell r="P95" t="str">
            <v>5.4c</v>
          </cell>
          <cell r="Q95" t="str">
            <v xml:space="preserve"> Accessible toilet with grab bars</v>
          </cell>
        </row>
        <row r="97">
          <cell r="O97"/>
          <cell r="P97" t="str">
            <v>5.6a</v>
          </cell>
          <cell r="Q97" t="str">
            <v xml:space="preserve"> Standard with removable base cabinets</v>
          </cell>
        </row>
        <row r="98">
          <cell r="O98"/>
          <cell r="P98" t="str">
            <v>5.6b</v>
          </cell>
          <cell r="Q98" t="str">
            <v xml:space="preserve"> Pedestal or open front</v>
          </cell>
        </row>
        <row r="100">
          <cell r="O100"/>
          <cell r="P100" t="str">
            <v>5.7a</v>
          </cell>
          <cell r="Q100" t="str">
            <v xml:space="preserve"> Lower/accessible medicine chest</v>
          </cell>
        </row>
        <row r="101">
          <cell r="O101"/>
          <cell r="P101" t="str">
            <v>5.7b</v>
          </cell>
          <cell r="Q101" t="str">
            <v xml:space="preserve"> Anti-scald device</v>
          </cell>
        </row>
        <row r="102">
          <cell r="O102"/>
          <cell r="P102" t="str">
            <v>5.7c</v>
          </cell>
          <cell r="Q102" t="str">
            <v xml:space="preserve"> Anti-scald devices for sink</v>
          </cell>
        </row>
        <row r="103">
          <cell r="O103"/>
          <cell r="P103" t="str">
            <v>5.7d</v>
          </cell>
          <cell r="Q103" t="str">
            <v xml:space="preserve"> Accessible handles//touch latches for doors/drawers</v>
          </cell>
        </row>
        <row r="104">
          <cell r="O104"/>
          <cell r="P104" t="str">
            <v>5.7e</v>
          </cell>
          <cell r="Q104" t="str">
            <v xml:space="preserve"> Lower towel rack(s)</v>
          </cell>
        </row>
        <row r="105">
          <cell r="O105"/>
          <cell r="P105" t="str">
            <v>5.7f</v>
          </cell>
          <cell r="Q105" t="str">
            <v xml:space="preserve"> Contrasting floor color</v>
          </cell>
        </row>
        <row r="106">
          <cell r="O106"/>
          <cell r="P106" t="str">
            <v>5.7g</v>
          </cell>
          <cell r="Q106" t="str">
            <v xml:space="preserve"> Fold-down/fixed shower seat(s)</v>
          </cell>
        </row>
        <row r="107">
          <cell r="O107"/>
          <cell r="P107" t="str">
            <v>5.7h</v>
          </cell>
          <cell r="Q107" t="str">
            <v xml:space="preserve"> Accessible toilet tissue holder</v>
          </cell>
        </row>
        <row r="108">
          <cell r="O108"/>
          <cell r="P108" t="str">
            <v>5.7i</v>
          </cell>
          <cell r="Q108" t="str">
            <v xml:space="preserve"> Hand-held adjustable shower spray unit(s)</v>
          </cell>
        </row>
        <row r="110">
          <cell r="O110"/>
          <cell r="P110">
            <v>6.1</v>
          </cell>
          <cell r="Q110" t="str">
            <v>Dining room on accessible route of travel</v>
          </cell>
        </row>
        <row r="111">
          <cell r="O111"/>
          <cell r="P111">
            <v>6.2</v>
          </cell>
          <cell r="Q111" t="str">
            <v>Living room on accessible route of travel</v>
          </cell>
        </row>
        <row r="112">
          <cell r="O112"/>
          <cell r="P112">
            <v>6.3</v>
          </cell>
          <cell r="Q112" t="str">
            <v>Other common room on accessible route of travel</v>
          </cell>
        </row>
        <row r="114">
          <cell r="O114"/>
          <cell r="P114">
            <v>7.1</v>
          </cell>
        </row>
        <row r="115">
          <cell r="O115"/>
          <cell r="P115">
            <v>7.2</v>
          </cell>
        </row>
        <row r="116">
          <cell r="O116"/>
          <cell r="P116">
            <v>7.3</v>
          </cell>
        </row>
        <row r="117">
          <cell r="O117"/>
          <cell r="P117">
            <v>7.4</v>
          </cell>
        </row>
        <row r="119">
          <cell r="O119"/>
          <cell r="P119">
            <v>8.1</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ummary"/>
      <sheetName val="Scoring Checklist"/>
      <sheetName val="Notes"/>
      <sheetName val="15A1"/>
      <sheetName val="15A2"/>
      <sheetName val="15A3"/>
      <sheetName val="15A4"/>
      <sheetName val="15B1"/>
      <sheetName val="15B2"/>
      <sheetName val="15C1"/>
      <sheetName val="15C2a"/>
      <sheetName val="15C2b"/>
      <sheetName val="15C3"/>
      <sheetName val="15C4"/>
      <sheetName val="15C5"/>
      <sheetName val="15C6"/>
      <sheetName val="15D1"/>
      <sheetName val="15D2"/>
      <sheetName val="15D3"/>
      <sheetName val="15E1"/>
      <sheetName val="15E2"/>
      <sheetName val="15F1"/>
      <sheetName val="15F2"/>
      <sheetName val="15F3"/>
      <sheetName val="15F4"/>
      <sheetName val="EUA Restrictions"/>
    </sheetNames>
    <sheetDataSet>
      <sheetData sheetId="0"/>
      <sheetData sheetId="1">
        <row r="5">
          <cell r="S5">
            <v>0</v>
          </cell>
        </row>
      </sheetData>
      <sheetData sheetId="2"/>
      <sheetData sheetId="3"/>
      <sheetData sheetId="4">
        <row r="22">
          <cell r="O22" t="str">
            <v>M</v>
          </cell>
          <cell r="P22">
            <v>1.1000000000000001</v>
          </cell>
          <cell r="Q22" t="str">
            <v>Accessible route of travel to dwelling from public sidewalk or thoroughfare to primary entrance.</v>
          </cell>
          <cell r="R22">
            <v>0</v>
          </cell>
          <cell r="S22">
            <v>0</v>
          </cell>
          <cell r="T22">
            <v>0</v>
          </cell>
          <cell r="U22">
            <v>0</v>
          </cell>
          <cell r="V22">
            <v>0</v>
          </cell>
          <cell r="W22">
            <v>0</v>
          </cell>
          <cell r="X22">
            <v>0</v>
          </cell>
        </row>
        <row r="23">
          <cell r="O23">
            <v>0</v>
          </cell>
          <cell r="P23">
            <v>1.2</v>
          </cell>
          <cell r="Q23" t="str">
            <v>No-step entry (1/2” or less threshold)</v>
          </cell>
          <cell r="R23">
            <v>0</v>
          </cell>
          <cell r="S23">
            <v>0</v>
          </cell>
          <cell r="T23">
            <v>0</v>
          </cell>
          <cell r="U23">
            <v>0</v>
          </cell>
          <cell r="V23">
            <v>0</v>
          </cell>
          <cell r="W23">
            <v>0</v>
          </cell>
          <cell r="X23">
            <v>0</v>
          </cell>
        </row>
        <row r="24">
          <cell r="O24" t="str">
            <v>X</v>
          </cell>
          <cell r="P24">
            <v>1.3</v>
          </cell>
          <cell r="Q24" t="str">
            <v>Accessible landscaping of at least one side yard and rear yard</v>
          </cell>
          <cell r="R24">
            <v>0</v>
          </cell>
          <cell r="S24">
            <v>0</v>
          </cell>
          <cell r="T24">
            <v>0</v>
          </cell>
          <cell r="U24">
            <v>0</v>
          </cell>
          <cell r="V24">
            <v>0</v>
          </cell>
          <cell r="W24">
            <v>0</v>
          </cell>
          <cell r="X24">
            <v>0</v>
          </cell>
        </row>
        <row r="25">
          <cell r="O25">
            <v>0</v>
          </cell>
          <cell r="P25">
            <v>1.4</v>
          </cell>
          <cell r="Q25" t="str">
            <v>Accessible route from garage/parking to home’s primary entry</v>
          </cell>
          <cell r="R25">
            <v>0</v>
          </cell>
          <cell r="S25">
            <v>0</v>
          </cell>
          <cell r="T25">
            <v>0</v>
          </cell>
          <cell r="U25">
            <v>0</v>
          </cell>
          <cell r="V25">
            <v>0</v>
          </cell>
          <cell r="W25">
            <v>0</v>
          </cell>
          <cell r="X25">
            <v>0</v>
          </cell>
        </row>
        <row r="26">
          <cell r="O26">
            <v>0</v>
          </cell>
          <cell r="P26">
            <v>1.5</v>
          </cell>
          <cell r="Q26" t="str">
            <v>Nonslip surfaces on walk and driveways with ice and snow melt systems.</v>
          </cell>
          <cell r="R26">
            <v>0</v>
          </cell>
          <cell r="S26">
            <v>0</v>
          </cell>
          <cell r="T26">
            <v>0</v>
          </cell>
          <cell r="U26">
            <v>0</v>
          </cell>
          <cell r="V26">
            <v>0</v>
          </cell>
          <cell r="W26">
            <v>0</v>
          </cell>
          <cell r="X26">
            <v>0</v>
          </cell>
        </row>
        <row r="28">
          <cell r="O28" t="str">
            <v>X</v>
          </cell>
          <cell r="P28">
            <v>2.1</v>
          </cell>
          <cell r="Q28" t="str">
            <v>Minimum 32” clear primary entry doorway</v>
          </cell>
          <cell r="R28">
            <v>0</v>
          </cell>
          <cell r="S28">
            <v>0</v>
          </cell>
          <cell r="T28">
            <v>0</v>
          </cell>
          <cell r="U28">
            <v>0</v>
          </cell>
          <cell r="V28">
            <v>0</v>
          </cell>
          <cell r="W28">
            <v>0</v>
          </cell>
          <cell r="X28">
            <v>0</v>
          </cell>
        </row>
        <row r="29">
          <cell r="O29">
            <v>0</v>
          </cell>
          <cell r="P29">
            <v>2.2000000000000002</v>
          </cell>
          <cell r="Q29" t="str">
            <v>Primary entry accessible internal/external maneuvering clearances, hardware, thresholds, and strike edge clearances</v>
          </cell>
          <cell r="R29">
            <v>0</v>
          </cell>
          <cell r="S29">
            <v>0</v>
          </cell>
          <cell r="T29">
            <v>0</v>
          </cell>
          <cell r="U29">
            <v>0</v>
          </cell>
          <cell r="V29">
            <v>0</v>
          </cell>
          <cell r="W29">
            <v>0</v>
          </cell>
          <cell r="X29">
            <v>0</v>
          </cell>
        </row>
        <row r="30">
          <cell r="O30">
            <v>0</v>
          </cell>
          <cell r="P30">
            <v>2.2999999999999998</v>
          </cell>
          <cell r="Q30" t="str">
            <v>Minimum 32” clear secondary entry doorway</v>
          </cell>
          <cell r="R30">
            <v>0</v>
          </cell>
          <cell r="S30">
            <v>0</v>
          </cell>
          <cell r="T30">
            <v>0</v>
          </cell>
          <cell r="U30">
            <v>0</v>
          </cell>
          <cell r="V30">
            <v>0</v>
          </cell>
          <cell r="W30">
            <v>0</v>
          </cell>
          <cell r="X30">
            <v>0</v>
          </cell>
        </row>
        <row r="31">
          <cell r="O31" t="str">
            <v>X</v>
          </cell>
          <cell r="P31">
            <v>2.4</v>
          </cell>
          <cell r="Q31" t="str">
            <v>Secondary entry accessible internal/external maneuvering clearances, hardware, thresholds, and strike edge clearances</v>
          </cell>
          <cell r="R31">
            <v>0</v>
          </cell>
          <cell r="S31">
            <v>0</v>
          </cell>
          <cell r="T31">
            <v>0</v>
          </cell>
          <cell r="U31">
            <v>0</v>
          </cell>
          <cell r="V31">
            <v>0</v>
          </cell>
          <cell r="W31">
            <v>0</v>
          </cell>
          <cell r="X31">
            <v>0</v>
          </cell>
        </row>
        <row r="32">
          <cell r="O32">
            <v>0</v>
          </cell>
          <cell r="P32">
            <v>2.5</v>
          </cell>
          <cell r="Q32" t="str">
            <v>Primary entry accessible/dual peephole and back lit doorbell</v>
          </cell>
          <cell r="R32">
            <v>0</v>
          </cell>
          <cell r="S32">
            <v>0</v>
          </cell>
          <cell r="T32">
            <v>0</v>
          </cell>
          <cell r="U32">
            <v>0</v>
          </cell>
          <cell r="V32">
            <v>0</v>
          </cell>
          <cell r="W32">
            <v>0</v>
          </cell>
          <cell r="X32">
            <v>0</v>
          </cell>
        </row>
        <row r="33">
          <cell r="O33">
            <v>0</v>
          </cell>
          <cell r="P33">
            <v>2.6</v>
          </cell>
          <cell r="Q33" t="str">
            <v>Accessible sliding glass door and threshold height</v>
          </cell>
          <cell r="R33">
            <v>0</v>
          </cell>
          <cell r="S33">
            <v>0</v>
          </cell>
          <cell r="T33">
            <v>0</v>
          </cell>
          <cell r="U33">
            <v>0</v>
          </cell>
          <cell r="V33">
            <v>0</v>
          </cell>
          <cell r="W33">
            <v>0</v>
          </cell>
          <cell r="X33">
            <v>0</v>
          </cell>
        </row>
        <row r="34">
          <cell r="O34">
            <v>0</v>
          </cell>
          <cell r="P34">
            <v>2.7</v>
          </cell>
          <cell r="Q34" t="str">
            <v>Weather-sheltered entry area</v>
          </cell>
          <cell r="R34">
            <v>0</v>
          </cell>
          <cell r="S34">
            <v>0</v>
          </cell>
          <cell r="T34">
            <v>0</v>
          </cell>
          <cell r="U34">
            <v>0</v>
          </cell>
          <cell r="V34">
            <v>0</v>
          </cell>
          <cell r="W34">
            <v>0</v>
          </cell>
          <cell r="X34">
            <v>0</v>
          </cell>
        </row>
        <row r="36">
          <cell r="O36">
            <v>0</v>
          </cell>
          <cell r="P36">
            <v>3.1</v>
          </cell>
          <cell r="Q36" t="str">
            <v>Accessible route of travel to at least one bathroom/powder room, kitchen, and common room</v>
          </cell>
          <cell r="R36">
            <v>0</v>
          </cell>
          <cell r="S36">
            <v>0</v>
          </cell>
          <cell r="T36">
            <v>0</v>
          </cell>
          <cell r="U36">
            <v>0</v>
          </cell>
          <cell r="V36">
            <v>0</v>
          </cell>
          <cell r="W36">
            <v>0</v>
          </cell>
          <cell r="X36">
            <v>0</v>
          </cell>
        </row>
        <row r="37">
          <cell r="O37">
            <v>0</v>
          </cell>
          <cell r="P37">
            <v>3.2</v>
          </cell>
          <cell r="Q37" t="str">
            <v>42” wide hallways/maneuvering clearances with 32” clear doorways on accessible route</v>
          </cell>
          <cell r="R37">
            <v>0</v>
          </cell>
          <cell r="S37">
            <v>0</v>
          </cell>
          <cell r="T37">
            <v>0</v>
          </cell>
          <cell r="U37">
            <v>0</v>
          </cell>
          <cell r="V37">
            <v>0</v>
          </cell>
          <cell r="W37">
            <v>0</v>
          </cell>
          <cell r="X37">
            <v>0</v>
          </cell>
        </row>
        <row r="38">
          <cell r="O38">
            <v>0</v>
          </cell>
          <cell r="P38">
            <v>3.3</v>
          </cell>
          <cell r="Q38" t="str">
            <v>All interior door handles are lever style.</v>
          </cell>
          <cell r="R38">
            <v>0</v>
          </cell>
          <cell r="S38">
            <v>0</v>
          </cell>
          <cell r="T38">
            <v>0</v>
          </cell>
          <cell r="U38">
            <v>0</v>
          </cell>
          <cell r="V38">
            <v>0</v>
          </cell>
          <cell r="W38">
            <v>0</v>
          </cell>
          <cell r="X38">
            <v>0</v>
          </cell>
        </row>
        <row r="39">
          <cell r="O39">
            <v>0</v>
          </cell>
          <cell r="P39">
            <v>3.4</v>
          </cell>
          <cell r="Q39" t="str">
            <v>Accessible hardware, strike edge clearance, and thresholds for accessible doorways</v>
          </cell>
          <cell r="R39">
            <v>0</v>
          </cell>
          <cell r="S39">
            <v>0</v>
          </cell>
          <cell r="T39">
            <v>0</v>
          </cell>
          <cell r="U39">
            <v>0</v>
          </cell>
          <cell r="V39">
            <v>0</v>
          </cell>
          <cell r="W39">
            <v>0</v>
          </cell>
          <cell r="X39">
            <v>0</v>
          </cell>
        </row>
        <row r="40">
          <cell r="O40">
            <v>0</v>
          </cell>
          <cell r="P40">
            <v>3.5</v>
          </cell>
          <cell r="Q40" t="str">
            <v>Light switches, electric receptacles, and environmental and alarm controls at accessible heights on accessible route/rooms</v>
          </cell>
          <cell r="R40">
            <v>0</v>
          </cell>
          <cell r="S40">
            <v>0</v>
          </cell>
          <cell r="T40">
            <v>0</v>
          </cell>
          <cell r="U40">
            <v>0</v>
          </cell>
          <cell r="V40">
            <v>0</v>
          </cell>
          <cell r="W40">
            <v>0</v>
          </cell>
          <cell r="X40">
            <v>0</v>
          </cell>
        </row>
        <row r="41">
          <cell r="O41">
            <v>0</v>
          </cell>
          <cell r="P41">
            <v>3.6</v>
          </cell>
          <cell r="Q41" t="str">
            <v>Rocker light switches/controls on accessible route/rooms</v>
          </cell>
          <cell r="R41">
            <v>0</v>
          </cell>
          <cell r="S41">
            <v>0</v>
          </cell>
          <cell r="T41">
            <v>0</v>
          </cell>
          <cell r="U41">
            <v>0</v>
          </cell>
          <cell r="V41">
            <v>0</v>
          </cell>
          <cell r="W41">
            <v>0</v>
          </cell>
          <cell r="X41">
            <v>0</v>
          </cell>
        </row>
        <row r="42">
          <cell r="O42">
            <v>0</v>
          </cell>
          <cell r="P42">
            <v>3.7</v>
          </cell>
          <cell r="Q42" t="str">
            <v>Visual smoke/fire/carbon monoxide alarm</v>
          </cell>
          <cell r="R42">
            <v>0</v>
          </cell>
          <cell r="S42">
            <v>0</v>
          </cell>
          <cell r="T42">
            <v>0</v>
          </cell>
          <cell r="U42">
            <v>0</v>
          </cell>
          <cell r="V42">
            <v>0</v>
          </cell>
          <cell r="W42">
            <v>0</v>
          </cell>
          <cell r="X42">
            <v>0</v>
          </cell>
        </row>
        <row r="43">
          <cell r="O43">
            <v>0</v>
          </cell>
          <cell r="P43">
            <v>3.8</v>
          </cell>
          <cell r="Q43" t="str">
            <v>Audio and visual doorbell</v>
          </cell>
          <cell r="R43">
            <v>0</v>
          </cell>
          <cell r="S43">
            <v>0</v>
          </cell>
          <cell r="T43">
            <v>0</v>
          </cell>
          <cell r="U43">
            <v>0</v>
          </cell>
          <cell r="V43">
            <v>0</v>
          </cell>
          <cell r="W43">
            <v>0</v>
          </cell>
          <cell r="X43">
            <v>0</v>
          </cell>
        </row>
        <row r="44">
          <cell r="O44">
            <v>0</v>
          </cell>
          <cell r="P44">
            <v>3.9</v>
          </cell>
          <cell r="Q44" t="str">
            <v>Audio and visual security alarm</v>
          </cell>
          <cell r="R44">
            <v>0</v>
          </cell>
          <cell r="S44">
            <v>0</v>
          </cell>
          <cell r="T44">
            <v>0</v>
          </cell>
          <cell r="U44">
            <v>0</v>
          </cell>
          <cell r="V44">
            <v>0</v>
          </cell>
          <cell r="W44">
            <v>0</v>
          </cell>
          <cell r="X44">
            <v>0</v>
          </cell>
        </row>
        <row r="45">
          <cell r="O45">
            <v>0</v>
          </cell>
          <cell r="P45" t="str">
            <v>3.10</v>
          </cell>
          <cell r="Q45" t="str">
            <v>Closets on accessible route: adjustable (36”-60”) rods/shelves</v>
          </cell>
          <cell r="R45">
            <v>0</v>
          </cell>
          <cell r="S45">
            <v>0</v>
          </cell>
          <cell r="T45">
            <v>0</v>
          </cell>
          <cell r="U45">
            <v>0</v>
          </cell>
          <cell r="V45">
            <v>0</v>
          </cell>
          <cell r="W45">
            <v>0</v>
          </cell>
          <cell r="X45">
            <v>0</v>
          </cell>
        </row>
        <row r="46">
          <cell r="O46">
            <v>0</v>
          </cell>
          <cell r="P46">
            <v>3.11</v>
          </cell>
          <cell r="Q46" t="str">
            <v>Nonslip carpet/floor for accessible route (Low pile carpet less than 1/2" thick)</v>
          </cell>
          <cell r="R46">
            <v>0</v>
          </cell>
          <cell r="S46">
            <v>0</v>
          </cell>
          <cell r="T46">
            <v>0</v>
          </cell>
          <cell r="U46">
            <v>0</v>
          </cell>
          <cell r="V46">
            <v>0</v>
          </cell>
          <cell r="W46">
            <v>0</v>
          </cell>
          <cell r="X46">
            <v>0</v>
          </cell>
        </row>
        <row r="47">
          <cell r="O47">
            <v>0</v>
          </cell>
          <cell r="P47">
            <v>3.12</v>
          </cell>
          <cell r="Q47" t="str">
            <v>Handrail reinforcement (1 side) provided in all accessible routes of travel/rooms over 4 feet long</v>
          </cell>
          <cell r="R47">
            <v>0</v>
          </cell>
          <cell r="S47">
            <v>0</v>
          </cell>
          <cell r="T47">
            <v>0</v>
          </cell>
          <cell r="U47">
            <v>0</v>
          </cell>
          <cell r="V47">
            <v>0</v>
          </cell>
          <cell r="W47">
            <v>0</v>
          </cell>
          <cell r="X47">
            <v>0</v>
          </cell>
        </row>
        <row r="49">
          <cell r="O49">
            <v>0</v>
          </cell>
          <cell r="P49">
            <v>4.0999999999999996</v>
          </cell>
          <cell r="Q49" t="str">
            <v>At least one kitchen on accessible route of travel</v>
          </cell>
        </row>
        <row r="51">
          <cell r="O51">
            <v>0</v>
          </cell>
          <cell r="P51" t="str">
            <v>4.2a</v>
          </cell>
          <cell r="Q51" t="str">
            <v>Stove (specify 30”x48” or greater)</v>
          </cell>
          <cell r="R51">
            <v>0</v>
          </cell>
          <cell r="S51">
            <v>0</v>
          </cell>
          <cell r="T51">
            <v>0</v>
          </cell>
          <cell r="U51">
            <v>0</v>
          </cell>
          <cell r="V51">
            <v>0</v>
          </cell>
          <cell r="W51">
            <v>0</v>
          </cell>
          <cell r="X51">
            <v>0</v>
          </cell>
        </row>
        <row r="52">
          <cell r="O52">
            <v>0</v>
          </cell>
          <cell r="P52" t="str">
            <v>4.2b</v>
          </cell>
          <cell r="Q52" t="str">
            <v>Refrigerator (specify 30”x48” or greater)</v>
          </cell>
          <cell r="R52">
            <v>0</v>
          </cell>
          <cell r="S52">
            <v>0</v>
          </cell>
          <cell r="T52">
            <v>0</v>
          </cell>
          <cell r="U52">
            <v>0</v>
          </cell>
          <cell r="V52">
            <v>0</v>
          </cell>
          <cell r="W52">
            <v>0</v>
          </cell>
          <cell r="X52">
            <v>0</v>
          </cell>
        </row>
        <row r="53">
          <cell r="O53">
            <v>0</v>
          </cell>
          <cell r="P53" t="str">
            <v>4.2c</v>
          </cell>
          <cell r="Q53" t="str">
            <v>Dishwasher (specify 30”x48” or greater)</v>
          </cell>
          <cell r="R53">
            <v>0</v>
          </cell>
          <cell r="S53">
            <v>0</v>
          </cell>
          <cell r="T53">
            <v>0</v>
          </cell>
          <cell r="U53">
            <v>0</v>
          </cell>
          <cell r="V53">
            <v>0</v>
          </cell>
          <cell r="W53">
            <v>0</v>
          </cell>
          <cell r="X53">
            <v>0</v>
          </cell>
        </row>
        <row r="54">
          <cell r="O54">
            <v>0</v>
          </cell>
          <cell r="P54" t="str">
            <v>4.2d</v>
          </cell>
          <cell r="Q54" t="str">
            <v>Sink (specify 30”x48” or greater)</v>
          </cell>
          <cell r="R54">
            <v>0</v>
          </cell>
          <cell r="S54">
            <v>0</v>
          </cell>
          <cell r="T54">
            <v>0</v>
          </cell>
          <cell r="U54">
            <v>0</v>
          </cell>
          <cell r="V54">
            <v>0</v>
          </cell>
          <cell r="W54">
            <v>0</v>
          </cell>
          <cell r="X54">
            <v>0</v>
          </cell>
        </row>
        <row r="55">
          <cell r="O55">
            <v>0</v>
          </cell>
          <cell r="P55" t="str">
            <v>4.2e</v>
          </cell>
          <cell r="Q55" t="str">
            <v>Oven (if separate) (specify 30”x48” or greater)</v>
          </cell>
          <cell r="R55">
            <v>0</v>
          </cell>
          <cell r="S55">
            <v>0</v>
          </cell>
          <cell r="T55">
            <v>0</v>
          </cell>
          <cell r="U55">
            <v>0</v>
          </cell>
          <cell r="V55">
            <v>0</v>
          </cell>
          <cell r="W55">
            <v>0</v>
          </cell>
          <cell r="X55">
            <v>0</v>
          </cell>
        </row>
        <row r="56">
          <cell r="O56">
            <v>0</v>
          </cell>
          <cell r="P56" t="str">
            <v>4.2f</v>
          </cell>
          <cell r="Q56" t="str">
            <v>U-shaped kitchen space requirements</v>
          </cell>
          <cell r="R56">
            <v>0</v>
          </cell>
          <cell r="S56">
            <v>0</v>
          </cell>
          <cell r="T56">
            <v>0</v>
          </cell>
          <cell r="U56">
            <v>0</v>
          </cell>
          <cell r="V56">
            <v>0</v>
          </cell>
          <cell r="W56">
            <v>0</v>
          </cell>
          <cell r="X56">
            <v>0</v>
          </cell>
        </row>
        <row r="57">
          <cell r="O57">
            <v>0</v>
          </cell>
          <cell r="P57" t="str">
            <v>4.2g</v>
          </cell>
          <cell r="Q57" t="str">
            <v>Other (specify 30”x48” or greater)</v>
          </cell>
          <cell r="R57">
            <v>0</v>
          </cell>
          <cell r="S57">
            <v>0</v>
          </cell>
          <cell r="T57">
            <v>0</v>
          </cell>
          <cell r="U57">
            <v>0</v>
          </cell>
          <cell r="V57">
            <v>0</v>
          </cell>
          <cell r="W57">
            <v>0</v>
          </cell>
          <cell r="X57">
            <v>0</v>
          </cell>
        </row>
        <row r="59">
          <cell r="O59">
            <v>0</v>
          </cell>
          <cell r="P59" t="str">
            <v>4.3a</v>
          </cell>
          <cell r="Q59" t="str">
            <v>Stove</v>
          </cell>
          <cell r="R59">
            <v>0</v>
          </cell>
          <cell r="S59">
            <v>0</v>
          </cell>
          <cell r="T59">
            <v>0</v>
          </cell>
          <cell r="U59">
            <v>0</v>
          </cell>
          <cell r="V59">
            <v>0</v>
          </cell>
          <cell r="W59">
            <v>0</v>
          </cell>
          <cell r="X59">
            <v>0</v>
          </cell>
        </row>
        <row r="60">
          <cell r="O60">
            <v>0</v>
          </cell>
          <cell r="P60" t="str">
            <v>4.3b</v>
          </cell>
          <cell r="Q60" t="str">
            <v>Refrigerator</v>
          </cell>
          <cell r="R60">
            <v>0</v>
          </cell>
          <cell r="S60">
            <v>0</v>
          </cell>
          <cell r="T60">
            <v>0</v>
          </cell>
          <cell r="U60">
            <v>0</v>
          </cell>
          <cell r="V60">
            <v>0</v>
          </cell>
          <cell r="W60">
            <v>0</v>
          </cell>
          <cell r="X60">
            <v>0</v>
          </cell>
        </row>
        <row r="61">
          <cell r="O61">
            <v>0</v>
          </cell>
          <cell r="P61" t="str">
            <v>4.3c</v>
          </cell>
          <cell r="Q61" t="str">
            <v>Dishwasher</v>
          </cell>
          <cell r="R61">
            <v>0</v>
          </cell>
          <cell r="S61">
            <v>0</v>
          </cell>
          <cell r="T61">
            <v>0</v>
          </cell>
          <cell r="U61">
            <v>0</v>
          </cell>
          <cell r="V61">
            <v>0</v>
          </cell>
          <cell r="W61">
            <v>0</v>
          </cell>
          <cell r="X61">
            <v>0</v>
          </cell>
        </row>
        <row r="62">
          <cell r="O62">
            <v>0</v>
          </cell>
          <cell r="P62" t="str">
            <v>4.3d</v>
          </cell>
          <cell r="Q62" t="str">
            <v>Sink</v>
          </cell>
          <cell r="R62">
            <v>0</v>
          </cell>
          <cell r="S62">
            <v>0</v>
          </cell>
          <cell r="T62">
            <v>0</v>
          </cell>
          <cell r="U62">
            <v>0</v>
          </cell>
          <cell r="V62">
            <v>0</v>
          </cell>
          <cell r="W62">
            <v>0</v>
          </cell>
          <cell r="X62">
            <v>0</v>
          </cell>
        </row>
        <row r="63">
          <cell r="O63">
            <v>0</v>
          </cell>
          <cell r="P63" t="str">
            <v>4.3e</v>
          </cell>
          <cell r="Q63" t="str">
            <v>Microwave/receptacle at countertop height</v>
          </cell>
          <cell r="R63">
            <v>0</v>
          </cell>
          <cell r="S63">
            <v>0</v>
          </cell>
          <cell r="T63">
            <v>0</v>
          </cell>
          <cell r="U63">
            <v>0</v>
          </cell>
          <cell r="V63">
            <v>0</v>
          </cell>
          <cell r="W63">
            <v>0</v>
          </cell>
          <cell r="X63">
            <v>0</v>
          </cell>
        </row>
        <row r="65">
          <cell r="O65">
            <v>0</v>
          </cell>
          <cell r="P65" t="str">
            <v>4.4a</v>
          </cell>
          <cell r="Q65" t="str">
            <v>All or a specified portion repositionable</v>
          </cell>
          <cell r="R65">
            <v>0</v>
          </cell>
          <cell r="S65">
            <v>0</v>
          </cell>
          <cell r="T65">
            <v>0</v>
          </cell>
          <cell r="U65">
            <v>0</v>
          </cell>
          <cell r="V65">
            <v>0</v>
          </cell>
          <cell r="W65">
            <v>0</v>
          </cell>
          <cell r="X65">
            <v>0</v>
          </cell>
        </row>
        <row r="66">
          <cell r="O66">
            <v>0</v>
          </cell>
          <cell r="P66" t="str">
            <v>4.4b</v>
          </cell>
          <cell r="Q66" t="str">
            <v>One or more counter areas at 30” wide and 28”-32” high</v>
          </cell>
          <cell r="R66">
            <v>0</v>
          </cell>
          <cell r="S66">
            <v>0</v>
          </cell>
          <cell r="T66">
            <v>0</v>
          </cell>
          <cell r="U66">
            <v>0</v>
          </cell>
          <cell r="V66">
            <v>0</v>
          </cell>
          <cell r="W66">
            <v>0</v>
          </cell>
          <cell r="X66">
            <v>0</v>
          </cell>
        </row>
        <row r="67">
          <cell r="O67">
            <v>0</v>
          </cell>
          <cell r="P67" t="str">
            <v>4.4c</v>
          </cell>
          <cell r="Q67" t="str">
            <v>One or more workspaces at 30” wide with knee/toe space</v>
          </cell>
          <cell r="R67">
            <v>0</v>
          </cell>
          <cell r="S67">
            <v>0</v>
          </cell>
          <cell r="T67">
            <v>0</v>
          </cell>
          <cell r="U67">
            <v>0</v>
          </cell>
          <cell r="V67">
            <v>0</v>
          </cell>
          <cell r="W67">
            <v>0</v>
          </cell>
          <cell r="X67">
            <v>0</v>
          </cell>
        </row>
        <row r="69">
          <cell r="O69">
            <v>0</v>
          </cell>
          <cell r="P69" t="str">
            <v>4.5a</v>
          </cell>
          <cell r="Q69" t="str">
            <v>Base cabinets: pull-out and/or Lazy Susan shelves</v>
          </cell>
          <cell r="R69">
            <v>0</v>
          </cell>
          <cell r="S69">
            <v>0</v>
          </cell>
          <cell r="T69">
            <v>0</v>
          </cell>
          <cell r="U69">
            <v>0</v>
          </cell>
          <cell r="V69">
            <v>0</v>
          </cell>
          <cell r="W69">
            <v>0</v>
          </cell>
          <cell r="X69">
            <v>0</v>
          </cell>
        </row>
        <row r="70">
          <cell r="O70">
            <v>0</v>
          </cell>
          <cell r="P70" t="str">
            <v>4.5b</v>
          </cell>
          <cell r="Q70" t="str">
            <v>Additional under-cabinet lighting</v>
          </cell>
          <cell r="R70">
            <v>0</v>
          </cell>
          <cell r="S70">
            <v>0</v>
          </cell>
          <cell r="T70">
            <v>0</v>
          </cell>
          <cell r="U70">
            <v>0</v>
          </cell>
          <cell r="V70">
            <v>0</v>
          </cell>
          <cell r="W70">
            <v>0</v>
          </cell>
          <cell r="X70">
            <v>0</v>
          </cell>
        </row>
        <row r="71">
          <cell r="O71">
            <v>0</v>
          </cell>
          <cell r="P71" t="str">
            <v>4.5c</v>
          </cell>
          <cell r="Q71" t="str">
            <v>Accessible handles//touch latches for doors/drawers</v>
          </cell>
          <cell r="R71">
            <v>0</v>
          </cell>
          <cell r="S71">
            <v>0</v>
          </cell>
          <cell r="T71">
            <v>0</v>
          </cell>
          <cell r="U71">
            <v>0</v>
          </cell>
          <cell r="V71">
            <v>0</v>
          </cell>
          <cell r="W71">
            <v>0</v>
          </cell>
          <cell r="X71">
            <v>0</v>
          </cell>
        </row>
        <row r="73">
          <cell r="O73">
            <v>0</v>
          </cell>
          <cell r="P73" t="str">
            <v>4.6a</v>
          </cell>
          <cell r="Q73" t="str">
            <v>Repositionable height</v>
          </cell>
          <cell r="R73">
            <v>0</v>
          </cell>
          <cell r="S73">
            <v>0</v>
          </cell>
          <cell r="T73">
            <v>0</v>
          </cell>
          <cell r="U73">
            <v>0</v>
          </cell>
          <cell r="V73">
            <v>0</v>
          </cell>
          <cell r="W73">
            <v>0</v>
          </cell>
          <cell r="X73">
            <v>0</v>
          </cell>
        </row>
        <row r="74">
          <cell r="O74">
            <v>0</v>
          </cell>
          <cell r="P74" t="str">
            <v>4.6b</v>
          </cell>
          <cell r="Q74" t="str">
            <v>Removable base cabinets under sink</v>
          </cell>
          <cell r="R74">
            <v>0</v>
          </cell>
          <cell r="S74">
            <v>0</v>
          </cell>
          <cell r="T74">
            <v>0</v>
          </cell>
          <cell r="U74">
            <v>0</v>
          </cell>
          <cell r="V74">
            <v>0</v>
          </cell>
          <cell r="W74">
            <v>0</v>
          </cell>
          <cell r="X74">
            <v>0</v>
          </cell>
        </row>
        <row r="75">
          <cell r="O75">
            <v>0</v>
          </cell>
          <cell r="P75" t="str">
            <v>4.6c</v>
          </cell>
          <cell r="Q75" t="str">
            <v>Single-handle lever faucet</v>
          </cell>
          <cell r="R75">
            <v>0</v>
          </cell>
          <cell r="S75">
            <v>0</v>
          </cell>
          <cell r="T75">
            <v>0</v>
          </cell>
          <cell r="U75">
            <v>0</v>
          </cell>
          <cell r="V75">
            <v>0</v>
          </cell>
          <cell r="W75">
            <v>0</v>
          </cell>
          <cell r="X75">
            <v>0</v>
          </cell>
        </row>
        <row r="76">
          <cell r="O76">
            <v>0</v>
          </cell>
          <cell r="P76" t="str">
            <v>4.6d</v>
          </cell>
          <cell r="Q76" t="str">
            <v>Anti-scald device</v>
          </cell>
          <cell r="R76">
            <v>0</v>
          </cell>
          <cell r="S76">
            <v>0</v>
          </cell>
          <cell r="T76">
            <v>0</v>
          </cell>
          <cell r="U76">
            <v>0</v>
          </cell>
          <cell r="V76">
            <v>0</v>
          </cell>
          <cell r="W76">
            <v>0</v>
          </cell>
          <cell r="X76">
            <v>0</v>
          </cell>
        </row>
        <row r="78">
          <cell r="O78">
            <v>0</v>
          </cell>
          <cell r="P78" t="str">
            <v>4.7a</v>
          </cell>
          <cell r="Q78" t="str">
            <v>Edge border of cabinets/counters</v>
          </cell>
          <cell r="R78">
            <v>0</v>
          </cell>
          <cell r="S78">
            <v>0</v>
          </cell>
          <cell r="T78">
            <v>0</v>
          </cell>
          <cell r="U78">
            <v>0</v>
          </cell>
          <cell r="V78">
            <v>0</v>
          </cell>
          <cell r="W78">
            <v>0</v>
          </cell>
          <cell r="X78">
            <v>0</v>
          </cell>
        </row>
        <row r="79">
          <cell r="O79">
            <v>0</v>
          </cell>
          <cell r="P79" t="str">
            <v>4.7b</v>
          </cell>
          <cell r="Q79" t="str">
            <v>Flooring: in front of appliances</v>
          </cell>
          <cell r="R79">
            <v>0</v>
          </cell>
          <cell r="S79">
            <v>0</v>
          </cell>
          <cell r="T79">
            <v>0</v>
          </cell>
          <cell r="U79">
            <v>0</v>
          </cell>
          <cell r="V79">
            <v>0</v>
          </cell>
          <cell r="W79">
            <v>0</v>
          </cell>
          <cell r="X79">
            <v>0</v>
          </cell>
        </row>
        <row r="80">
          <cell r="O80">
            <v>0</v>
          </cell>
          <cell r="P80" t="str">
            <v>4.7c</v>
          </cell>
          <cell r="Q80" t="str">
            <v>Flooring: on route of travel</v>
          </cell>
          <cell r="R80">
            <v>0</v>
          </cell>
          <cell r="S80">
            <v>0</v>
          </cell>
          <cell r="T80">
            <v>0</v>
          </cell>
          <cell r="U80">
            <v>0</v>
          </cell>
          <cell r="V80">
            <v>0</v>
          </cell>
          <cell r="W80">
            <v>0</v>
          </cell>
          <cell r="X80">
            <v>0</v>
          </cell>
        </row>
        <row r="82">
          <cell r="O82">
            <v>0</v>
          </cell>
          <cell r="P82">
            <v>5.0999999999999996</v>
          </cell>
          <cell r="Q82" t="str">
            <v>At least one full bathroom on accessible route of travel</v>
          </cell>
        </row>
        <row r="84">
          <cell r="O84">
            <v>0</v>
          </cell>
          <cell r="P84" t="str">
            <v>5.2a</v>
          </cell>
          <cell r="Q84" t="str">
            <v>Maneuvering space diameter: 30” x 48” turning area or 60” diameter turning area</v>
          </cell>
          <cell r="R84">
            <v>0</v>
          </cell>
          <cell r="S84">
            <v>0</v>
          </cell>
          <cell r="T84">
            <v>0</v>
          </cell>
          <cell r="U84">
            <v>0</v>
          </cell>
          <cell r="V84">
            <v>0</v>
          </cell>
          <cell r="W84">
            <v>0</v>
          </cell>
          <cell r="X84">
            <v>0</v>
          </cell>
        </row>
        <row r="85">
          <cell r="O85">
            <v>0</v>
          </cell>
          <cell r="P85" t="str">
            <v>5.2b</v>
          </cell>
          <cell r="Q85" t="str">
            <v>Clear space for toilet and sink: 30” x 48” clear use area</v>
          </cell>
          <cell r="R85">
            <v>0</v>
          </cell>
          <cell r="S85">
            <v>0</v>
          </cell>
          <cell r="T85">
            <v>0</v>
          </cell>
          <cell r="U85">
            <v>0</v>
          </cell>
          <cell r="V85">
            <v>0</v>
          </cell>
          <cell r="W85">
            <v>0</v>
          </cell>
          <cell r="X85">
            <v>0</v>
          </cell>
        </row>
        <row r="86">
          <cell r="Q86" t="str">
            <v>Bathtub and/or shower</v>
          </cell>
          <cell r="R86">
            <v>0</v>
          </cell>
          <cell r="S86">
            <v>0</v>
          </cell>
          <cell r="T86">
            <v>0</v>
          </cell>
          <cell r="U86">
            <v>0</v>
          </cell>
          <cell r="V86">
            <v>0</v>
          </cell>
          <cell r="W86">
            <v>0</v>
          </cell>
          <cell r="X86">
            <v>0</v>
          </cell>
        </row>
        <row r="87">
          <cell r="O87">
            <v>0</v>
          </cell>
          <cell r="P87" t="str">
            <v>5.3a</v>
          </cell>
          <cell r="Q87" t="str">
            <v>Standard bathtub or shower with grab bar reinforcement</v>
          </cell>
          <cell r="R87">
            <v>0</v>
          </cell>
          <cell r="S87">
            <v>0</v>
          </cell>
          <cell r="T87">
            <v>0</v>
          </cell>
          <cell r="U87">
            <v>0</v>
          </cell>
          <cell r="V87">
            <v>0</v>
          </cell>
          <cell r="W87">
            <v>0</v>
          </cell>
          <cell r="X87">
            <v>0</v>
          </cell>
        </row>
        <row r="88">
          <cell r="O88">
            <v>0</v>
          </cell>
          <cell r="P88" t="str">
            <v>5.3b</v>
          </cell>
          <cell r="Q88" t="str">
            <v>Standard bathtub or shower with grab bars</v>
          </cell>
          <cell r="R88">
            <v>0</v>
          </cell>
          <cell r="S88">
            <v>0</v>
          </cell>
          <cell r="T88">
            <v>0</v>
          </cell>
          <cell r="U88">
            <v>0</v>
          </cell>
          <cell r="V88">
            <v>0</v>
          </cell>
          <cell r="W88">
            <v>0</v>
          </cell>
          <cell r="X88">
            <v>0</v>
          </cell>
        </row>
        <row r="89">
          <cell r="O89">
            <v>0</v>
          </cell>
          <cell r="P89" t="str">
            <v>5.3c</v>
          </cell>
          <cell r="Q89" t="str">
            <v>Accessible (roll-in) shower</v>
          </cell>
          <cell r="R89">
            <v>0</v>
          </cell>
          <cell r="S89">
            <v>0</v>
          </cell>
          <cell r="T89">
            <v>0</v>
          </cell>
          <cell r="U89">
            <v>0</v>
          </cell>
          <cell r="V89">
            <v>0</v>
          </cell>
          <cell r="W89">
            <v>0</v>
          </cell>
          <cell r="X89">
            <v>0</v>
          </cell>
        </row>
        <row r="90">
          <cell r="O90">
            <v>0</v>
          </cell>
          <cell r="P90" t="str">
            <v>5.3d</v>
          </cell>
          <cell r="Q90" t="str">
            <v>Single-handle lever faucets</v>
          </cell>
          <cell r="R90">
            <v>0</v>
          </cell>
          <cell r="S90">
            <v>0</v>
          </cell>
          <cell r="T90">
            <v>0</v>
          </cell>
          <cell r="U90">
            <v>0</v>
          </cell>
          <cell r="V90">
            <v>0</v>
          </cell>
          <cell r="W90">
            <v>0</v>
          </cell>
          <cell r="X90">
            <v>0</v>
          </cell>
        </row>
        <row r="91">
          <cell r="O91">
            <v>0</v>
          </cell>
          <cell r="P91" t="str">
            <v>5.3e</v>
          </cell>
          <cell r="Q91" t="str">
            <v>Offset controls for exterior use</v>
          </cell>
          <cell r="R91">
            <v>0</v>
          </cell>
          <cell r="S91">
            <v>0</v>
          </cell>
          <cell r="T91">
            <v>0</v>
          </cell>
          <cell r="U91">
            <v>0</v>
          </cell>
          <cell r="V91">
            <v>0</v>
          </cell>
          <cell r="W91">
            <v>0</v>
          </cell>
          <cell r="X91">
            <v>0</v>
          </cell>
        </row>
        <row r="93">
          <cell r="O93">
            <v>0</v>
          </cell>
          <cell r="P93" t="str">
            <v>5.4a</v>
          </cell>
          <cell r="Q93" t="str">
            <v xml:space="preserve"> Standard toilet with grab bar reinforcement</v>
          </cell>
          <cell r="R93">
            <v>0</v>
          </cell>
          <cell r="S93">
            <v>0</v>
          </cell>
          <cell r="T93">
            <v>0</v>
          </cell>
          <cell r="U93">
            <v>0</v>
          </cell>
          <cell r="V93">
            <v>0</v>
          </cell>
          <cell r="W93">
            <v>0</v>
          </cell>
          <cell r="X93">
            <v>0</v>
          </cell>
        </row>
        <row r="94">
          <cell r="O94">
            <v>0</v>
          </cell>
          <cell r="P94" t="str">
            <v>5.4b</v>
          </cell>
          <cell r="Q94" t="str">
            <v xml:space="preserve"> Standard toilet with grab bars</v>
          </cell>
          <cell r="R94">
            <v>0</v>
          </cell>
          <cell r="S94">
            <v>0</v>
          </cell>
          <cell r="T94">
            <v>0</v>
          </cell>
          <cell r="U94">
            <v>0</v>
          </cell>
          <cell r="V94">
            <v>0</v>
          </cell>
          <cell r="W94">
            <v>0</v>
          </cell>
          <cell r="X94">
            <v>0</v>
          </cell>
        </row>
        <row r="95">
          <cell r="O95">
            <v>0</v>
          </cell>
          <cell r="P95" t="str">
            <v>5.4c</v>
          </cell>
          <cell r="Q95" t="str">
            <v xml:space="preserve"> Accessible toilet with grab bars</v>
          </cell>
          <cell r="R95">
            <v>0</v>
          </cell>
          <cell r="S95">
            <v>0</v>
          </cell>
          <cell r="T95">
            <v>0</v>
          </cell>
          <cell r="U95">
            <v>0</v>
          </cell>
          <cell r="V95">
            <v>0</v>
          </cell>
          <cell r="W95">
            <v>0</v>
          </cell>
          <cell r="X95">
            <v>0</v>
          </cell>
        </row>
        <row r="97">
          <cell r="O97">
            <v>0</v>
          </cell>
          <cell r="P97" t="str">
            <v>5.6a</v>
          </cell>
          <cell r="Q97" t="str">
            <v xml:space="preserve"> Standard with removable base cabinets</v>
          </cell>
          <cell r="R97">
            <v>0</v>
          </cell>
          <cell r="S97">
            <v>0</v>
          </cell>
          <cell r="T97">
            <v>0</v>
          </cell>
          <cell r="U97">
            <v>0</v>
          </cell>
          <cell r="V97">
            <v>0</v>
          </cell>
          <cell r="W97">
            <v>0</v>
          </cell>
          <cell r="X97">
            <v>0</v>
          </cell>
        </row>
        <row r="98">
          <cell r="O98">
            <v>0</v>
          </cell>
          <cell r="P98" t="str">
            <v>5.6b</v>
          </cell>
          <cell r="Q98" t="str">
            <v xml:space="preserve"> Pedestal or open front</v>
          </cell>
          <cell r="R98">
            <v>0</v>
          </cell>
          <cell r="S98">
            <v>0</v>
          </cell>
          <cell r="T98">
            <v>0</v>
          </cell>
          <cell r="U98">
            <v>0</v>
          </cell>
          <cell r="V98">
            <v>0</v>
          </cell>
          <cell r="W98">
            <v>0</v>
          </cell>
          <cell r="X98">
            <v>0</v>
          </cell>
        </row>
        <row r="100">
          <cell r="O100">
            <v>0</v>
          </cell>
          <cell r="P100" t="str">
            <v>5.7a</v>
          </cell>
          <cell r="Q100" t="str">
            <v xml:space="preserve"> Lower/accessible medicine chest</v>
          </cell>
          <cell r="R100">
            <v>0</v>
          </cell>
          <cell r="S100">
            <v>0</v>
          </cell>
          <cell r="T100">
            <v>0</v>
          </cell>
          <cell r="U100">
            <v>0</v>
          </cell>
          <cell r="V100">
            <v>0</v>
          </cell>
          <cell r="W100">
            <v>0</v>
          </cell>
          <cell r="X100">
            <v>0</v>
          </cell>
        </row>
        <row r="101">
          <cell r="O101">
            <v>0</v>
          </cell>
          <cell r="P101" t="str">
            <v>5.7b</v>
          </cell>
          <cell r="Q101" t="str">
            <v xml:space="preserve"> Anti-scald device</v>
          </cell>
          <cell r="R101">
            <v>0</v>
          </cell>
          <cell r="S101">
            <v>0</v>
          </cell>
          <cell r="T101">
            <v>0</v>
          </cell>
          <cell r="U101">
            <v>0</v>
          </cell>
          <cell r="V101">
            <v>0</v>
          </cell>
          <cell r="W101">
            <v>0</v>
          </cell>
          <cell r="X101">
            <v>0</v>
          </cell>
        </row>
        <row r="102">
          <cell r="O102">
            <v>0</v>
          </cell>
          <cell r="P102" t="str">
            <v>5.7c</v>
          </cell>
          <cell r="Q102" t="str">
            <v xml:space="preserve"> Anti-scald devices for sink</v>
          </cell>
          <cell r="R102">
            <v>0</v>
          </cell>
          <cell r="S102">
            <v>0</v>
          </cell>
          <cell r="T102">
            <v>0</v>
          </cell>
          <cell r="U102">
            <v>0</v>
          </cell>
          <cell r="V102">
            <v>0</v>
          </cell>
          <cell r="W102">
            <v>0</v>
          </cell>
          <cell r="X102">
            <v>0</v>
          </cell>
        </row>
        <row r="103">
          <cell r="O103">
            <v>0</v>
          </cell>
          <cell r="P103" t="str">
            <v>5.7d</v>
          </cell>
          <cell r="Q103" t="str">
            <v xml:space="preserve"> Accessible handles//touch latches for doors/drawers</v>
          </cell>
          <cell r="R103">
            <v>0</v>
          </cell>
          <cell r="S103">
            <v>0</v>
          </cell>
          <cell r="T103">
            <v>0</v>
          </cell>
          <cell r="U103">
            <v>0</v>
          </cell>
          <cell r="V103">
            <v>0</v>
          </cell>
          <cell r="W103">
            <v>0</v>
          </cell>
          <cell r="X103">
            <v>0</v>
          </cell>
        </row>
        <row r="104">
          <cell r="O104">
            <v>0</v>
          </cell>
          <cell r="P104" t="str">
            <v>5.7e</v>
          </cell>
          <cell r="Q104" t="str">
            <v xml:space="preserve"> Lower towel rack(s)</v>
          </cell>
          <cell r="R104">
            <v>0</v>
          </cell>
          <cell r="S104">
            <v>0</v>
          </cell>
          <cell r="T104">
            <v>0</v>
          </cell>
          <cell r="U104">
            <v>0</v>
          </cell>
          <cell r="V104">
            <v>0</v>
          </cell>
          <cell r="W104">
            <v>0</v>
          </cell>
          <cell r="X104">
            <v>0</v>
          </cell>
        </row>
        <row r="105">
          <cell r="O105">
            <v>0</v>
          </cell>
          <cell r="P105" t="str">
            <v>5.7f</v>
          </cell>
          <cell r="Q105" t="str">
            <v xml:space="preserve"> Contrasting floor color</v>
          </cell>
          <cell r="R105">
            <v>0</v>
          </cell>
          <cell r="S105">
            <v>0</v>
          </cell>
          <cell r="T105">
            <v>0</v>
          </cell>
          <cell r="U105">
            <v>0</v>
          </cell>
          <cell r="V105">
            <v>0</v>
          </cell>
          <cell r="W105">
            <v>0</v>
          </cell>
          <cell r="X105">
            <v>0</v>
          </cell>
        </row>
        <row r="106">
          <cell r="O106">
            <v>0</v>
          </cell>
          <cell r="P106" t="str">
            <v>5.7g</v>
          </cell>
          <cell r="Q106" t="str">
            <v xml:space="preserve"> Fold-down/fixed shower seat(s)</v>
          </cell>
          <cell r="R106">
            <v>0</v>
          </cell>
          <cell r="S106">
            <v>0</v>
          </cell>
          <cell r="T106">
            <v>0</v>
          </cell>
          <cell r="U106">
            <v>0</v>
          </cell>
          <cell r="V106">
            <v>0</v>
          </cell>
          <cell r="W106">
            <v>0</v>
          </cell>
          <cell r="X106">
            <v>0</v>
          </cell>
        </row>
        <row r="107">
          <cell r="O107">
            <v>0</v>
          </cell>
          <cell r="P107" t="str">
            <v>5.7h</v>
          </cell>
          <cell r="Q107" t="str">
            <v xml:space="preserve"> Accessible toilet tissue holder</v>
          </cell>
          <cell r="R107">
            <v>0</v>
          </cell>
          <cell r="S107">
            <v>0</v>
          </cell>
          <cell r="T107">
            <v>0</v>
          </cell>
          <cell r="U107">
            <v>0</v>
          </cell>
          <cell r="V107">
            <v>0</v>
          </cell>
          <cell r="W107">
            <v>0</v>
          </cell>
          <cell r="X107">
            <v>0</v>
          </cell>
        </row>
        <row r="108">
          <cell r="O108">
            <v>0</v>
          </cell>
          <cell r="P108" t="str">
            <v>5.7i</v>
          </cell>
          <cell r="Q108" t="str">
            <v xml:space="preserve"> Hand-held adjustable shower spray unit(s)</v>
          </cell>
          <cell r="R108">
            <v>0</v>
          </cell>
          <cell r="S108">
            <v>0</v>
          </cell>
          <cell r="T108">
            <v>0</v>
          </cell>
          <cell r="U108">
            <v>0</v>
          </cell>
          <cell r="V108">
            <v>0</v>
          </cell>
          <cell r="W108">
            <v>0</v>
          </cell>
          <cell r="X108">
            <v>0</v>
          </cell>
        </row>
        <row r="110">
          <cell r="O110">
            <v>0</v>
          </cell>
          <cell r="P110">
            <v>6.1</v>
          </cell>
          <cell r="Q110" t="str">
            <v>Dining room on accessible route of travel</v>
          </cell>
          <cell r="R110">
            <v>0</v>
          </cell>
          <cell r="S110">
            <v>0</v>
          </cell>
          <cell r="T110">
            <v>0</v>
          </cell>
          <cell r="U110">
            <v>0</v>
          </cell>
          <cell r="V110">
            <v>0</v>
          </cell>
          <cell r="W110">
            <v>0</v>
          </cell>
          <cell r="X110">
            <v>0</v>
          </cell>
        </row>
        <row r="111">
          <cell r="O111">
            <v>0</v>
          </cell>
          <cell r="P111">
            <v>6.2</v>
          </cell>
          <cell r="Q111" t="str">
            <v>Living room on accessible route of travel</v>
          </cell>
          <cell r="R111">
            <v>0</v>
          </cell>
          <cell r="S111">
            <v>0</v>
          </cell>
          <cell r="T111">
            <v>0</v>
          </cell>
          <cell r="U111">
            <v>0</v>
          </cell>
          <cell r="V111">
            <v>0</v>
          </cell>
          <cell r="W111">
            <v>0</v>
          </cell>
          <cell r="X111">
            <v>0</v>
          </cell>
        </row>
        <row r="112">
          <cell r="O112">
            <v>0</v>
          </cell>
          <cell r="P112">
            <v>6.3</v>
          </cell>
          <cell r="Q112" t="str">
            <v>Other common room on accessible route of travel</v>
          </cell>
          <cell r="R112">
            <v>0</v>
          </cell>
          <cell r="S112">
            <v>0</v>
          </cell>
          <cell r="T112">
            <v>0</v>
          </cell>
          <cell r="U112">
            <v>0</v>
          </cell>
          <cell r="V112">
            <v>0</v>
          </cell>
          <cell r="W112">
            <v>0</v>
          </cell>
          <cell r="X112">
            <v>0</v>
          </cell>
        </row>
        <row r="114">
          <cell r="O114">
            <v>0</v>
          </cell>
          <cell r="P114">
            <v>7.1</v>
          </cell>
        </row>
        <row r="115">
          <cell r="O115">
            <v>0</v>
          </cell>
          <cell r="P115">
            <v>7.2</v>
          </cell>
        </row>
        <row r="116">
          <cell r="O116">
            <v>0</v>
          </cell>
          <cell r="P116">
            <v>7.3</v>
          </cell>
        </row>
        <row r="117">
          <cell r="O117">
            <v>0</v>
          </cell>
          <cell r="P117">
            <v>7.4</v>
          </cell>
        </row>
        <row r="119">
          <cell r="O119">
            <v>0</v>
          </cell>
          <cell r="P119">
            <v>8.1</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28FFE2-E7A7-4C85-A28B-99B63B9FEF21}">
  <dimension ref="A1:B60"/>
  <sheetViews>
    <sheetView topLeftCell="A43" zoomScale="90" zoomScaleNormal="90" workbookViewId="0">
      <selection activeCell="B61" sqref="B61"/>
    </sheetView>
  </sheetViews>
  <sheetFormatPr defaultRowHeight="14.4" x14ac:dyDescent="0.3"/>
  <cols>
    <col min="1" max="1" width="14.109375" style="233" customWidth="1"/>
    <col min="2" max="2" width="45.5546875" customWidth="1"/>
    <col min="3" max="3" width="64.109375" customWidth="1"/>
  </cols>
  <sheetData>
    <row r="1" spans="1:2" x14ac:dyDescent="0.3">
      <c r="A1" s="233" t="s">
        <v>250</v>
      </c>
    </row>
    <row r="2" spans="1:2" x14ac:dyDescent="0.3">
      <c r="B2" s="235"/>
    </row>
    <row r="3" spans="1:2" x14ac:dyDescent="0.3">
      <c r="A3" s="234">
        <v>44403</v>
      </c>
      <c r="B3" t="s">
        <v>251</v>
      </c>
    </row>
    <row r="4" spans="1:2" x14ac:dyDescent="0.3">
      <c r="B4" t="s">
        <v>252</v>
      </c>
    </row>
    <row r="5" spans="1:2" ht="33.9" customHeight="1" x14ac:dyDescent="0.3">
      <c r="B5" t="s">
        <v>253</v>
      </c>
    </row>
    <row r="6" spans="1:2" ht="33.9" customHeight="1" x14ac:dyDescent="0.3">
      <c r="B6" s="236" t="s">
        <v>254</v>
      </c>
    </row>
    <row r="7" spans="1:2" ht="28.8" x14ac:dyDescent="0.3">
      <c r="B7" s="236" t="s">
        <v>255</v>
      </c>
    </row>
    <row r="8" spans="1:2" x14ac:dyDescent="0.3">
      <c r="B8" t="s">
        <v>256</v>
      </c>
    </row>
    <row r="9" spans="1:2" x14ac:dyDescent="0.3">
      <c r="B9" t="s">
        <v>259</v>
      </c>
    </row>
    <row r="10" spans="1:2" ht="30.9" customHeight="1" x14ac:dyDescent="0.3">
      <c r="B10" t="s">
        <v>260</v>
      </c>
    </row>
    <row r="11" spans="1:2" ht="28.8" x14ac:dyDescent="0.3">
      <c r="B11" s="236" t="s">
        <v>261</v>
      </c>
    </row>
    <row r="12" spans="1:2" x14ac:dyDescent="0.3">
      <c r="B12" t="s">
        <v>266</v>
      </c>
    </row>
    <row r="13" spans="1:2" x14ac:dyDescent="0.3">
      <c r="B13" s="235" t="s">
        <v>267</v>
      </c>
    </row>
    <row r="14" spans="1:2" x14ac:dyDescent="0.3">
      <c r="B14" t="s">
        <v>269</v>
      </c>
    </row>
    <row r="15" spans="1:2" x14ac:dyDescent="0.3">
      <c r="B15" t="s">
        <v>273</v>
      </c>
    </row>
    <row r="17" spans="1:2" x14ac:dyDescent="0.3">
      <c r="A17" s="234">
        <v>44403</v>
      </c>
      <c r="B17" t="s">
        <v>280</v>
      </c>
    </row>
    <row r="18" spans="1:2" ht="72" x14ac:dyDescent="0.3">
      <c r="B18" s="236" t="s">
        <v>287</v>
      </c>
    </row>
    <row r="19" spans="1:2" x14ac:dyDescent="0.3">
      <c r="A19" s="234">
        <v>44407</v>
      </c>
      <c r="B19" t="s">
        <v>280</v>
      </c>
    </row>
    <row r="20" spans="1:2" ht="28.8" x14ac:dyDescent="0.3">
      <c r="B20" s="236" t="s">
        <v>282</v>
      </c>
    </row>
    <row r="21" spans="1:2" ht="28.8" x14ac:dyDescent="0.3">
      <c r="B21" s="236" t="s">
        <v>281</v>
      </c>
    </row>
    <row r="22" spans="1:2" ht="28.8" x14ac:dyDescent="0.3">
      <c r="B22" s="236" t="s">
        <v>285</v>
      </c>
    </row>
    <row r="23" spans="1:2" x14ac:dyDescent="0.3">
      <c r="B23" s="236"/>
    </row>
    <row r="24" spans="1:2" x14ac:dyDescent="0.3">
      <c r="A24" s="234">
        <v>44409</v>
      </c>
      <c r="B24" s="236" t="s">
        <v>280</v>
      </c>
    </row>
    <row r="25" spans="1:2" ht="28.8" x14ac:dyDescent="0.3">
      <c r="B25" s="236" t="s">
        <v>286</v>
      </c>
    </row>
    <row r="26" spans="1:2" ht="28.8" x14ac:dyDescent="0.3">
      <c r="B26" s="236" t="s">
        <v>288</v>
      </c>
    </row>
    <row r="27" spans="1:2" ht="86.4" x14ac:dyDescent="0.3">
      <c r="B27" s="236" t="s">
        <v>290</v>
      </c>
    </row>
    <row r="28" spans="1:2" ht="43.2" x14ac:dyDescent="0.3">
      <c r="B28" s="236" t="s">
        <v>291</v>
      </c>
    </row>
    <row r="29" spans="1:2" ht="43.2" x14ac:dyDescent="0.3">
      <c r="B29" s="236" t="s">
        <v>293</v>
      </c>
    </row>
    <row r="30" spans="1:2" ht="28.8" x14ac:dyDescent="0.3">
      <c r="B30" s="236" t="s">
        <v>324</v>
      </c>
    </row>
    <row r="31" spans="1:2" ht="28.8" x14ac:dyDescent="0.3">
      <c r="B31" s="236" t="s">
        <v>294</v>
      </c>
    </row>
    <row r="32" spans="1:2" x14ac:dyDescent="0.3">
      <c r="B32" s="236" t="s">
        <v>297</v>
      </c>
    </row>
    <row r="33" spans="1:2" ht="43.2" x14ac:dyDescent="0.3">
      <c r="B33" s="236" t="s">
        <v>298</v>
      </c>
    </row>
    <row r="34" spans="1:2" ht="43.2" x14ac:dyDescent="0.3">
      <c r="B34" s="236" t="s">
        <v>299</v>
      </c>
    </row>
    <row r="35" spans="1:2" ht="57.6" x14ac:dyDescent="0.3">
      <c r="B35" s="236" t="s">
        <v>322</v>
      </c>
    </row>
    <row r="36" spans="1:2" x14ac:dyDescent="0.3">
      <c r="B36" s="236"/>
    </row>
    <row r="37" spans="1:2" x14ac:dyDescent="0.3">
      <c r="A37" s="234">
        <v>44410</v>
      </c>
      <c r="B37" s="236" t="s">
        <v>251</v>
      </c>
    </row>
    <row r="38" spans="1:2" ht="28.8" x14ac:dyDescent="0.3">
      <c r="B38" s="236" t="s">
        <v>323</v>
      </c>
    </row>
    <row r="39" spans="1:2" x14ac:dyDescent="0.3">
      <c r="B39" s="236" t="s">
        <v>326</v>
      </c>
    </row>
    <row r="41" spans="1:2" x14ac:dyDescent="0.3">
      <c r="A41" s="234">
        <v>44423</v>
      </c>
      <c r="B41" s="236" t="s">
        <v>280</v>
      </c>
    </row>
    <row r="42" spans="1:2" ht="72" x14ac:dyDescent="0.3">
      <c r="B42" s="236" t="s">
        <v>334</v>
      </c>
    </row>
    <row r="43" spans="1:2" ht="28.8" x14ac:dyDescent="0.3">
      <c r="B43" s="236" t="s">
        <v>350</v>
      </c>
    </row>
    <row r="44" spans="1:2" ht="28.8" x14ac:dyDescent="0.3">
      <c r="B44" s="236" t="s">
        <v>348</v>
      </c>
    </row>
    <row r="45" spans="1:2" ht="28.8" x14ac:dyDescent="0.3">
      <c r="B45" s="236" t="s">
        <v>351</v>
      </c>
    </row>
    <row r="46" spans="1:2" ht="28.8" x14ac:dyDescent="0.3">
      <c r="B46" s="236" t="s">
        <v>354</v>
      </c>
    </row>
    <row r="47" spans="1:2" x14ac:dyDescent="0.3">
      <c r="B47" s="236"/>
    </row>
    <row r="48" spans="1:2" x14ac:dyDescent="0.3">
      <c r="A48" s="234">
        <v>44425</v>
      </c>
      <c r="B48" s="236" t="s">
        <v>361</v>
      </c>
    </row>
    <row r="49" spans="1:2" x14ac:dyDescent="0.3">
      <c r="B49" s="236" t="s">
        <v>371</v>
      </c>
    </row>
    <row r="50" spans="1:2" x14ac:dyDescent="0.3">
      <c r="B50" s="236" t="s">
        <v>369</v>
      </c>
    </row>
    <row r="51" spans="1:2" x14ac:dyDescent="0.3">
      <c r="B51" s="236" t="s">
        <v>370</v>
      </c>
    </row>
    <row r="52" spans="1:2" x14ac:dyDescent="0.3">
      <c r="B52" s="236" t="s">
        <v>384</v>
      </c>
    </row>
    <row r="54" spans="1:2" x14ac:dyDescent="0.3">
      <c r="A54" s="234">
        <v>44559</v>
      </c>
      <c r="B54" s="236" t="s">
        <v>584</v>
      </c>
    </row>
    <row r="55" spans="1:2" ht="43.2" x14ac:dyDescent="0.3">
      <c r="B55" s="236" t="s">
        <v>585</v>
      </c>
    </row>
    <row r="56" spans="1:2" ht="57.6" x14ac:dyDescent="0.3">
      <c r="B56" s="236" t="s">
        <v>586</v>
      </c>
    </row>
    <row r="57" spans="1:2" ht="43.2" x14ac:dyDescent="0.3">
      <c r="B57" s="236" t="s">
        <v>590</v>
      </c>
    </row>
    <row r="58" spans="1:2" ht="28.8" x14ac:dyDescent="0.3">
      <c r="B58" s="236" t="s">
        <v>591</v>
      </c>
    </row>
    <row r="59" spans="1:2" ht="43.2" x14ac:dyDescent="0.3">
      <c r="B59" s="236" t="s">
        <v>592</v>
      </c>
    </row>
    <row r="60" spans="1:2" ht="43.2" x14ac:dyDescent="0.3">
      <c r="B60" s="236" t="s">
        <v>595</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AH42"/>
  <sheetViews>
    <sheetView showGridLines="0" tabSelected="1" view="pageBreakPreview" topLeftCell="F17" zoomScaleNormal="100" zoomScaleSheetLayoutView="100" workbookViewId="0">
      <selection activeCell="F30" sqref="F30"/>
    </sheetView>
  </sheetViews>
  <sheetFormatPr defaultColWidth="9.109375" defaultRowHeight="15.6" x14ac:dyDescent="0.3"/>
  <cols>
    <col min="1" max="1" width="3.5546875" style="1" customWidth="1"/>
    <col min="2" max="2" width="6.33203125" style="30" hidden="1" customWidth="1"/>
    <col min="3" max="3" width="10.88671875" style="30" hidden="1" customWidth="1"/>
    <col min="4" max="4" width="8.6640625" style="1" customWidth="1"/>
    <col min="5" max="5" width="9.6640625" style="1" customWidth="1"/>
    <col min="6" max="11" width="17.6640625" style="1" customWidth="1"/>
    <col min="12" max="12" width="14.44140625" style="1" customWidth="1"/>
    <col min="13" max="13" width="3.5546875" style="1" customWidth="1"/>
    <col min="14" max="14" width="9.109375" style="30" hidden="1" customWidth="1"/>
    <col min="15" max="15" width="14" style="30" hidden="1" customWidth="1"/>
    <col min="16" max="16" width="8.6640625" style="1" customWidth="1"/>
    <col min="17" max="17" width="9.5546875" style="1" customWidth="1"/>
    <col min="18" max="23" width="17.6640625" style="1" customWidth="1"/>
    <col min="24" max="24" width="14.44140625" style="1" customWidth="1"/>
    <col min="25" max="25" width="9.109375" style="1"/>
    <col min="26" max="26" width="9.109375" style="1" customWidth="1"/>
    <col min="27" max="27" width="14" style="1" hidden="1" customWidth="1"/>
    <col min="28" max="28" width="14.109375" style="1" hidden="1" customWidth="1"/>
    <col min="29" max="29" width="13.88671875" style="1" hidden="1" customWidth="1"/>
    <col min="30" max="30" width="12" style="1" hidden="1" customWidth="1"/>
    <col min="31" max="31" width="10.5546875" style="1" hidden="1" customWidth="1"/>
    <col min="32" max="33" width="9.109375" style="1" hidden="1" customWidth="1"/>
    <col min="34" max="37" width="9.109375" style="1" customWidth="1"/>
    <col min="38" max="16384" width="9.109375" style="1"/>
  </cols>
  <sheetData>
    <row r="1" spans="4:33" x14ac:dyDescent="0.3">
      <c r="M1" s="50"/>
    </row>
    <row r="2" spans="4:33" x14ac:dyDescent="0.3">
      <c r="D2" s="410" t="s">
        <v>166</v>
      </c>
      <c r="E2" s="410"/>
      <c r="F2" s="410"/>
      <c r="G2" s="410"/>
      <c r="H2" s="410"/>
      <c r="I2" s="410"/>
      <c r="J2" s="410"/>
      <c r="K2" s="410"/>
      <c r="L2" s="410"/>
      <c r="M2" s="50"/>
      <c r="N2" s="41"/>
      <c r="P2" s="410" t="s">
        <v>166</v>
      </c>
      <c r="Q2" s="410"/>
      <c r="R2" s="410"/>
      <c r="S2" s="410"/>
      <c r="T2" s="410"/>
      <c r="U2" s="410"/>
      <c r="V2" s="410"/>
      <c r="W2" s="410"/>
      <c r="X2" s="410"/>
      <c r="AA2" s="543" t="s">
        <v>680</v>
      </c>
      <c r="AB2" s="543"/>
      <c r="AC2" s="543"/>
      <c r="AD2" s="543"/>
      <c r="AE2" s="543"/>
      <c r="AG2" s="9" t="s">
        <v>244</v>
      </c>
    </row>
    <row r="3" spans="4:33" ht="16.5" customHeight="1" thickBot="1" x14ac:dyDescent="0.35">
      <c r="D3" s="411" t="s">
        <v>53</v>
      </c>
      <c r="E3" s="411"/>
      <c r="F3" s="411"/>
      <c r="G3" s="411"/>
      <c r="H3" s="411"/>
      <c r="I3" s="411"/>
      <c r="J3" s="411"/>
      <c r="K3" s="411"/>
      <c r="L3" s="411"/>
      <c r="M3" s="50"/>
      <c r="P3" s="411" t="s">
        <v>54</v>
      </c>
      <c r="Q3" s="411"/>
      <c r="R3" s="411"/>
      <c r="S3" s="411"/>
      <c r="T3" s="411"/>
      <c r="U3" s="411"/>
      <c r="V3" s="411"/>
      <c r="W3" s="411"/>
      <c r="X3" s="411"/>
      <c r="AA3" s="368" t="s">
        <v>241</v>
      </c>
      <c r="AB3" s="369" t="s">
        <v>24</v>
      </c>
      <c r="AC3" s="369" t="s">
        <v>137</v>
      </c>
      <c r="AD3" s="369" t="s">
        <v>27</v>
      </c>
      <c r="AE3" s="369" t="s">
        <v>28</v>
      </c>
    </row>
    <row r="4" spans="4:33" x14ac:dyDescent="0.3">
      <c r="D4" s="2"/>
      <c r="E4" s="2"/>
      <c r="F4" s="2"/>
      <c r="G4" s="2"/>
      <c r="H4" s="2"/>
      <c r="I4" s="2"/>
      <c r="J4" s="2"/>
      <c r="K4" s="2"/>
      <c r="L4" s="2"/>
      <c r="M4" s="50"/>
      <c r="P4" s="2"/>
      <c r="Q4" s="2"/>
      <c r="R4" s="2"/>
      <c r="S4" s="2"/>
      <c r="T4" s="2"/>
      <c r="U4" s="2"/>
      <c r="V4" s="2"/>
      <c r="W4" s="2"/>
      <c r="X4" s="2"/>
      <c r="AA4" s="370">
        <v>0</v>
      </c>
      <c r="AB4" s="371">
        <v>240695</v>
      </c>
      <c r="AC4" s="371">
        <v>218592</v>
      </c>
      <c r="AD4" s="371">
        <v>147550</v>
      </c>
      <c r="AE4" s="371">
        <v>143451</v>
      </c>
      <c r="AG4" s="1" t="s">
        <v>157</v>
      </c>
    </row>
    <row r="5" spans="4:33" x14ac:dyDescent="0.3">
      <c r="D5" s="2"/>
      <c r="F5" s="56" t="s">
        <v>0</v>
      </c>
      <c r="G5" s="21" t="str">
        <f>IF(Summary!$E$5="","",Summary!$E$5)</f>
        <v/>
      </c>
      <c r="H5" s="86"/>
      <c r="I5" s="86"/>
      <c r="J5" s="86"/>
      <c r="K5" s="86"/>
      <c r="L5" s="2"/>
      <c r="M5" s="50"/>
      <c r="N5" s="30" t="s">
        <v>3</v>
      </c>
      <c r="P5" s="2"/>
      <c r="R5" s="56" t="s">
        <v>0</v>
      </c>
      <c r="S5" s="21" t="str">
        <f>IF(Summary!$S$5="","",Summary!$S$5)</f>
        <v/>
      </c>
      <c r="T5" s="86"/>
      <c r="U5" s="86"/>
      <c r="V5" s="86"/>
      <c r="W5" s="86"/>
      <c r="X5" s="2"/>
      <c r="AA5" s="370">
        <v>1</v>
      </c>
      <c r="AB5" s="371">
        <v>313433</v>
      </c>
      <c r="AC5" s="371">
        <v>286902</v>
      </c>
      <c r="AD5" s="371">
        <v>214618</v>
      </c>
      <c r="AE5" s="371">
        <v>208656</v>
      </c>
      <c r="AG5" s="1" t="s">
        <v>158</v>
      </c>
    </row>
    <row r="6" spans="4:33" x14ac:dyDescent="0.3">
      <c r="F6" s="56" t="s">
        <v>1</v>
      </c>
      <c r="G6" s="515" t="str">
        <f>IF(Summary!E6="","",Summary!E6)</f>
        <v/>
      </c>
      <c r="H6" s="516"/>
      <c r="I6" s="516"/>
      <c r="J6" s="516"/>
      <c r="K6" s="517"/>
      <c r="M6" s="50"/>
      <c r="R6" s="56" t="s">
        <v>1</v>
      </c>
      <c r="S6" s="343" t="str">
        <f>IF(Summary!$S6="","",Summary!$S6)</f>
        <v/>
      </c>
      <c r="T6" s="182"/>
      <c r="U6" s="182"/>
      <c r="V6" s="182"/>
      <c r="W6" s="344"/>
      <c r="AA6" s="370">
        <v>2</v>
      </c>
      <c r="AB6" s="371">
        <v>420555</v>
      </c>
      <c r="AC6" s="371">
        <v>382536</v>
      </c>
      <c r="AD6" s="371">
        <v>281686</v>
      </c>
      <c r="AE6" s="371">
        <v>273861</v>
      </c>
    </row>
    <row r="7" spans="4:33" x14ac:dyDescent="0.3">
      <c r="F7" s="56"/>
      <c r="G7" s="182"/>
      <c r="H7" s="182"/>
      <c r="I7" s="86"/>
      <c r="J7" s="86"/>
      <c r="K7" s="86"/>
      <c r="M7" s="50"/>
      <c r="R7" s="56"/>
      <c r="S7" s="182"/>
      <c r="T7" s="182"/>
      <c r="U7" s="86"/>
      <c r="V7" s="86"/>
      <c r="W7" s="86"/>
      <c r="AA7" s="370">
        <v>3</v>
      </c>
      <c r="AB7" s="371">
        <v>469488</v>
      </c>
      <c r="AC7" s="371">
        <v>430353</v>
      </c>
      <c r="AD7" s="371">
        <v>301806</v>
      </c>
      <c r="AE7" s="371">
        <v>293423</v>
      </c>
    </row>
    <row r="8" spans="4:33" x14ac:dyDescent="0.3">
      <c r="F8" s="56" t="s">
        <v>48</v>
      </c>
      <c r="G8" s="518" t="str">
        <f>IF(Summary!E8="","",Summary!E8)</f>
        <v/>
      </c>
      <c r="H8" s="518"/>
      <c r="I8" s="86"/>
      <c r="J8" s="86"/>
      <c r="K8" s="86"/>
      <c r="M8" s="50"/>
      <c r="N8" s="41"/>
      <c r="R8" s="56" t="s">
        <v>48</v>
      </c>
      <c r="S8" s="526" t="str">
        <f>IF(Summary!$S8="","",Summary!$S8)</f>
        <v/>
      </c>
      <c r="T8" s="527"/>
      <c r="U8" s="86"/>
      <c r="V8" s="86"/>
      <c r="W8" s="86"/>
      <c r="AA8" s="370">
        <v>4</v>
      </c>
      <c r="AB8" s="371">
        <v>497260</v>
      </c>
      <c r="AC8" s="371">
        <v>443900</v>
      </c>
      <c r="AD8" s="371">
        <v>308513</v>
      </c>
      <c r="AE8" s="371">
        <v>299943</v>
      </c>
    </row>
    <row r="9" spans="4:33" x14ac:dyDescent="0.3">
      <c r="F9" s="56"/>
      <c r="G9" s="86"/>
      <c r="H9" s="86"/>
      <c r="I9" s="86"/>
      <c r="J9" s="86"/>
      <c r="K9" s="86"/>
      <c r="M9" s="50"/>
      <c r="N9" s="40"/>
      <c r="R9" s="56"/>
      <c r="S9" s="86"/>
      <c r="T9" s="86"/>
      <c r="U9" s="86"/>
      <c r="V9" s="86"/>
      <c r="W9" s="86"/>
      <c r="AA9" s="370">
        <v>5</v>
      </c>
      <c r="AB9" s="371">
        <v>497260</v>
      </c>
      <c r="AC9" s="371">
        <v>443900</v>
      </c>
      <c r="AD9" s="371">
        <v>308513</v>
      </c>
      <c r="AE9" s="371">
        <v>299943</v>
      </c>
    </row>
    <row r="10" spans="4:33" x14ac:dyDescent="0.3">
      <c r="F10" s="56" t="s">
        <v>45</v>
      </c>
      <c r="G10" s="341">
        <f>IF(AND(F35=$AG$4,L38&lt;=0.9,L39&gt;=0.7),3,IF(AND(F35=$AG$5,L38&lt;=0.9,L39&gt;=0.65),3,0))</f>
        <v>0</v>
      </c>
      <c r="H10" s="86"/>
      <c r="I10" s="86"/>
      <c r="J10" s="86"/>
      <c r="K10" s="86"/>
      <c r="M10" s="50"/>
      <c r="N10" s="40"/>
      <c r="R10" s="56" t="s">
        <v>46</v>
      </c>
      <c r="S10" s="341">
        <f>IF(AND(R35=$AG$4,X38&lt;=0.9,X39&gt;=0.7),3,IF(AND(R35=$AG$5,X38&lt;=0.9,X39&gt;=0.65),3,0))</f>
        <v>0</v>
      </c>
      <c r="T10" s="86"/>
      <c r="U10" s="86"/>
      <c r="V10" s="86"/>
      <c r="W10" s="86"/>
      <c r="AA10" s="370">
        <v>5</v>
      </c>
      <c r="AB10" s="371">
        <v>497260</v>
      </c>
      <c r="AC10" s="371">
        <v>443900</v>
      </c>
      <c r="AD10" s="371">
        <v>308513</v>
      </c>
      <c r="AE10" s="371">
        <v>299943</v>
      </c>
    </row>
    <row r="11" spans="4:33" ht="16.2" thickBot="1" x14ac:dyDescent="0.35">
      <c r="D11" s="3"/>
      <c r="E11" s="3"/>
      <c r="F11" s="3"/>
      <c r="G11" s="3"/>
      <c r="H11" s="3"/>
      <c r="I11" s="3"/>
      <c r="J11" s="3"/>
      <c r="K11" s="3"/>
      <c r="L11" s="3"/>
      <c r="M11" s="50"/>
      <c r="N11" s="40"/>
      <c r="P11" s="3"/>
      <c r="Q11" s="3"/>
      <c r="R11" s="3"/>
      <c r="S11" s="3"/>
      <c r="T11" s="3"/>
      <c r="U11" s="3"/>
      <c r="V11" s="3"/>
      <c r="W11" s="3"/>
      <c r="X11" s="3"/>
    </row>
    <row r="12" spans="4:33" x14ac:dyDescent="0.3">
      <c r="M12" s="50"/>
      <c r="N12" s="40"/>
    </row>
    <row r="13" spans="4:33" ht="16.5" customHeight="1" x14ac:dyDescent="0.3">
      <c r="D13" s="434" t="s">
        <v>564</v>
      </c>
      <c r="E13" s="434"/>
      <c r="F13" s="434"/>
      <c r="G13" s="434"/>
      <c r="H13" s="434"/>
      <c r="I13" s="434"/>
      <c r="J13" s="434"/>
      <c r="K13" s="434"/>
      <c r="L13" s="434"/>
      <c r="M13" s="50"/>
      <c r="N13" s="40"/>
      <c r="P13" s="434" t="s">
        <v>564</v>
      </c>
      <c r="Q13" s="434"/>
      <c r="R13" s="434"/>
      <c r="S13" s="434"/>
      <c r="T13" s="434"/>
      <c r="U13" s="434"/>
      <c r="V13" s="434"/>
      <c r="W13" s="434"/>
      <c r="X13" s="434"/>
    </row>
    <row r="14" spans="4:33" ht="33" customHeight="1" x14ac:dyDescent="0.3">
      <c r="D14" s="434"/>
      <c r="E14" s="434"/>
      <c r="F14" s="434"/>
      <c r="G14" s="434"/>
      <c r="H14" s="434"/>
      <c r="I14" s="434"/>
      <c r="J14" s="434"/>
      <c r="K14" s="434"/>
      <c r="L14" s="434"/>
      <c r="M14" s="50"/>
      <c r="P14" s="434"/>
      <c r="Q14" s="434"/>
      <c r="R14" s="434"/>
      <c r="S14" s="434"/>
      <c r="T14" s="434"/>
      <c r="U14" s="434"/>
      <c r="V14" s="434"/>
      <c r="W14" s="434"/>
      <c r="X14" s="434"/>
    </row>
    <row r="15" spans="4:33" x14ac:dyDescent="0.3">
      <c r="D15" s="335"/>
      <c r="E15" s="227" t="s">
        <v>245</v>
      </c>
      <c r="F15" s="335"/>
      <c r="G15" s="335"/>
      <c r="H15" s="335"/>
      <c r="I15" s="335"/>
      <c r="J15" s="335"/>
      <c r="K15" s="335"/>
      <c r="L15" s="335"/>
      <c r="M15" s="50"/>
      <c r="P15" s="335"/>
      <c r="Q15" s="227" t="s">
        <v>245</v>
      </c>
      <c r="R15" s="335"/>
      <c r="S15" s="335"/>
      <c r="T15" s="335"/>
      <c r="U15" s="335"/>
      <c r="V15" s="335"/>
      <c r="W15" s="335"/>
      <c r="X15" s="335"/>
    </row>
    <row r="16" spans="4:33" x14ac:dyDescent="0.3">
      <c r="D16" s="335"/>
      <c r="E16" s="225" t="s">
        <v>52</v>
      </c>
      <c r="F16" s="545" t="s">
        <v>176</v>
      </c>
      <c r="G16" s="545"/>
      <c r="H16" s="545"/>
      <c r="I16" s="545"/>
      <c r="J16" s="545"/>
      <c r="K16" s="545"/>
      <c r="L16" s="335"/>
      <c r="M16" s="50"/>
      <c r="P16" s="335"/>
      <c r="Q16" s="225" t="s">
        <v>52</v>
      </c>
      <c r="R16" s="545" t="s">
        <v>176</v>
      </c>
      <c r="S16" s="545"/>
      <c r="T16" s="545"/>
      <c r="U16" s="545"/>
      <c r="V16" s="545"/>
      <c r="W16" s="545"/>
      <c r="X16" s="335"/>
    </row>
    <row r="17" spans="2:27" ht="15.75" customHeight="1" x14ac:dyDescent="0.3">
      <c r="D17" s="335"/>
      <c r="E17" s="224">
        <v>3</v>
      </c>
      <c r="F17" s="544" t="s">
        <v>300</v>
      </c>
      <c r="G17" s="544"/>
      <c r="H17" s="544"/>
      <c r="I17" s="544"/>
      <c r="J17" s="544"/>
      <c r="K17" s="544"/>
      <c r="L17" s="335"/>
      <c r="M17" s="50"/>
      <c r="P17" s="335"/>
      <c r="Q17" s="224">
        <v>3</v>
      </c>
      <c r="R17" s="544" t="s">
        <v>300</v>
      </c>
      <c r="S17" s="544"/>
      <c r="T17" s="544"/>
      <c r="U17" s="544"/>
      <c r="V17" s="544"/>
      <c r="W17" s="544"/>
      <c r="X17" s="335"/>
    </row>
    <row r="18" spans="2:27" x14ac:dyDescent="0.3">
      <c r="D18" s="335"/>
      <c r="E18" s="226"/>
      <c r="F18" s="226"/>
      <c r="G18" s="226"/>
      <c r="H18" s="226"/>
      <c r="I18" s="226"/>
      <c r="J18" s="226"/>
      <c r="K18" s="226"/>
      <c r="L18" s="335"/>
      <c r="M18" s="50"/>
      <c r="P18" s="335"/>
      <c r="Q18" s="226"/>
      <c r="R18" s="226"/>
      <c r="S18" s="226"/>
      <c r="T18" s="226"/>
      <c r="U18" s="226"/>
      <c r="V18" s="226"/>
      <c r="W18" s="226"/>
      <c r="X18" s="335"/>
    </row>
    <row r="19" spans="2:27" x14ac:dyDescent="0.3">
      <c r="D19" s="335"/>
      <c r="E19" s="227" t="s">
        <v>612</v>
      </c>
      <c r="F19" s="335"/>
      <c r="G19" s="335"/>
      <c r="H19" s="335"/>
      <c r="I19" s="335"/>
      <c r="J19" s="335"/>
      <c r="K19" s="335"/>
      <c r="L19" s="335"/>
      <c r="M19" s="50"/>
      <c r="P19" s="335"/>
      <c r="Q19" s="227" t="s">
        <v>612</v>
      </c>
      <c r="R19" s="335"/>
      <c r="S19" s="335"/>
      <c r="T19" s="335"/>
      <c r="U19" s="335"/>
      <c r="V19" s="335"/>
      <c r="W19" s="335"/>
      <c r="X19" s="335"/>
    </row>
    <row r="20" spans="2:27" x14ac:dyDescent="0.3">
      <c r="D20" s="335"/>
      <c r="E20" s="225" t="s">
        <v>52</v>
      </c>
      <c r="F20" s="545" t="s">
        <v>176</v>
      </c>
      <c r="G20" s="545"/>
      <c r="H20" s="545"/>
      <c r="I20" s="545"/>
      <c r="J20" s="545"/>
      <c r="K20" s="545"/>
      <c r="L20" s="335"/>
      <c r="M20" s="50"/>
      <c r="P20" s="335"/>
      <c r="Q20" s="225" t="s">
        <v>52</v>
      </c>
      <c r="R20" s="545" t="s">
        <v>176</v>
      </c>
      <c r="S20" s="545"/>
      <c r="T20" s="545"/>
      <c r="U20" s="545"/>
      <c r="V20" s="545"/>
      <c r="W20" s="545"/>
      <c r="X20" s="335"/>
    </row>
    <row r="21" spans="2:27" ht="15.75" customHeight="1" x14ac:dyDescent="0.3">
      <c r="D21" s="335"/>
      <c r="E21" s="224">
        <v>3</v>
      </c>
      <c r="F21" s="544" t="s">
        <v>301</v>
      </c>
      <c r="G21" s="544"/>
      <c r="H21" s="544"/>
      <c r="I21" s="544"/>
      <c r="J21" s="544"/>
      <c r="K21" s="544"/>
      <c r="L21" s="335"/>
      <c r="M21" s="50"/>
      <c r="P21" s="335"/>
      <c r="Q21" s="224">
        <v>3</v>
      </c>
      <c r="R21" s="544" t="s">
        <v>301</v>
      </c>
      <c r="S21" s="544"/>
      <c r="T21" s="544"/>
      <c r="U21" s="544"/>
      <c r="V21" s="544"/>
      <c r="W21" s="544"/>
      <c r="X21" s="335"/>
    </row>
    <row r="22" spans="2:27" x14ac:dyDescent="0.3">
      <c r="D22" s="335"/>
      <c r="E22"/>
      <c r="F22"/>
      <c r="G22"/>
      <c r="H22"/>
      <c r="I22"/>
      <c r="J22"/>
      <c r="K22"/>
      <c r="L22"/>
      <c r="M22"/>
      <c r="N22"/>
      <c r="O22"/>
      <c r="P22"/>
      <c r="Q22"/>
      <c r="R22"/>
      <c r="S22"/>
      <c r="T22"/>
      <c r="U22"/>
      <c r="V22"/>
      <c r="W22"/>
      <c r="X22" s="335"/>
    </row>
    <row r="23" spans="2:27" ht="48" customHeight="1" x14ac:dyDescent="0.3">
      <c r="D23" s="434" t="s">
        <v>480</v>
      </c>
      <c r="E23" s="434"/>
      <c r="F23" s="434"/>
      <c r="G23" s="434"/>
      <c r="H23" s="434"/>
      <c r="I23" s="434"/>
      <c r="J23" s="434"/>
      <c r="K23" s="434"/>
      <c r="L23" s="434"/>
      <c r="M23"/>
      <c r="N23"/>
      <c r="O23"/>
      <c r="P23" s="434" t="s">
        <v>480</v>
      </c>
      <c r="Q23" s="434"/>
      <c r="R23" s="434"/>
      <c r="S23" s="434"/>
      <c r="T23" s="434"/>
      <c r="U23" s="434"/>
      <c r="V23" s="434"/>
      <c r="W23" s="434"/>
      <c r="X23" s="434"/>
    </row>
    <row r="24" spans="2:27" ht="15" customHeight="1" x14ac:dyDescent="0.3">
      <c r="D24" s="335"/>
      <c r="E24" s="335"/>
      <c r="F24" s="335"/>
      <c r="G24" s="335"/>
      <c r="H24" s="335"/>
      <c r="I24" s="335"/>
      <c r="J24" s="335"/>
      <c r="K24" s="335"/>
      <c r="L24" s="335"/>
      <c r="M24" s="50"/>
      <c r="P24" s="183"/>
      <c r="Q24" s="183"/>
      <c r="R24" s="183"/>
      <c r="S24" s="183"/>
      <c r="T24" s="183"/>
      <c r="U24" s="183"/>
      <c r="V24" s="183"/>
      <c r="W24" s="183"/>
      <c r="X24" s="183"/>
      <c r="AA24" s="1" t="s">
        <v>158</v>
      </c>
    </row>
    <row r="25" spans="2:27" ht="33" customHeight="1" x14ac:dyDescent="0.3">
      <c r="D25" s="434" t="s">
        <v>481</v>
      </c>
      <c r="E25" s="434"/>
      <c r="F25" s="434"/>
      <c r="G25" s="434"/>
      <c r="H25" s="434"/>
      <c r="I25" s="434"/>
      <c r="J25" s="434"/>
      <c r="K25" s="434"/>
      <c r="L25" s="434"/>
      <c r="M25" s="50"/>
      <c r="P25" s="434" t="s">
        <v>481</v>
      </c>
      <c r="Q25" s="434"/>
      <c r="R25" s="434"/>
      <c r="S25" s="434"/>
      <c r="T25" s="434"/>
      <c r="U25" s="434"/>
      <c r="V25" s="434"/>
      <c r="W25" s="434"/>
      <c r="X25" s="434"/>
    </row>
    <row r="26" spans="2:27" ht="15" customHeight="1" x14ac:dyDescent="0.3">
      <c r="D26" s="542"/>
      <c r="E26" s="542"/>
      <c r="F26" s="542"/>
      <c r="G26" s="542"/>
      <c r="H26" s="542"/>
      <c r="I26" s="542"/>
      <c r="J26" s="542"/>
      <c r="K26" s="542"/>
      <c r="L26" s="542"/>
      <c r="M26" s="50"/>
      <c r="N26" s="1"/>
      <c r="P26" s="542"/>
      <c r="Q26" s="542"/>
      <c r="R26" s="542"/>
      <c r="S26" s="542"/>
      <c r="T26" s="542"/>
      <c r="U26" s="542"/>
      <c r="V26" s="542"/>
      <c r="W26" s="542"/>
      <c r="X26" s="542"/>
    </row>
    <row r="27" spans="2:27" ht="16.2" thickBot="1" x14ac:dyDescent="0.35">
      <c r="D27" s="407" t="s">
        <v>139</v>
      </c>
      <c r="E27" s="407"/>
      <c r="F27" s="407"/>
      <c r="G27" s="407"/>
      <c r="H27" s="407"/>
      <c r="I27" s="407"/>
      <c r="J27" s="407"/>
      <c r="K27" s="407"/>
      <c r="L27" s="407"/>
      <c r="M27" s="50"/>
      <c r="P27" s="407" t="s">
        <v>139</v>
      </c>
      <c r="Q27" s="407"/>
      <c r="R27" s="407"/>
      <c r="S27" s="407"/>
      <c r="T27" s="407"/>
      <c r="U27" s="407"/>
      <c r="V27" s="407"/>
      <c r="W27" s="407"/>
      <c r="X27" s="407"/>
    </row>
    <row r="28" spans="2:27" x14ac:dyDescent="0.3">
      <c r="B28" s="28"/>
      <c r="C28" s="28"/>
      <c r="D28" s="113"/>
      <c r="E28" s="8"/>
      <c r="F28" s="8"/>
      <c r="G28" s="8"/>
      <c r="H28" s="8"/>
      <c r="I28" s="8"/>
      <c r="J28" s="8"/>
      <c r="K28" s="8"/>
      <c r="L28" s="8"/>
      <c r="M28" s="50"/>
      <c r="N28" s="28"/>
      <c r="O28" s="28"/>
      <c r="P28" s="113"/>
      <c r="Q28" s="8"/>
      <c r="R28" s="8"/>
      <c r="S28" s="8"/>
      <c r="T28" s="8"/>
      <c r="U28" s="8"/>
      <c r="V28" s="8"/>
      <c r="W28" s="8"/>
      <c r="X28" s="8"/>
    </row>
    <row r="29" spans="2:27" x14ac:dyDescent="0.3">
      <c r="E29" s="215" t="s">
        <v>235</v>
      </c>
      <c r="F29" s="216">
        <v>0</v>
      </c>
      <c r="G29" s="216">
        <v>1</v>
      </c>
      <c r="H29" s="216">
        <v>2</v>
      </c>
      <c r="I29" s="216">
        <v>3</v>
      </c>
      <c r="J29" s="216">
        <v>4</v>
      </c>
      <c r="K29" s="216">
        <v>5</v>
      </c>
      <c r="L29" s="216" t="s">
        <v>44</v>
      </c>
      <c r="M29" s="50"/>
      <c r="Q29" s="215" t="s">
        <v>235</v>
      </c>
      <c r="R29" s="216">
        <v>0</v>
      </c>
      <c r="S29" s="216">
        <v>1</v>
      </c>
      <c r="T29" s="216">
        <v>2</v>
      </c>
      <c r="U29" s="216">
        <v>3</v>
      </c>
      <c r="V29" s="216">
        <v>4</v>
      </c>
      <c r="W29" s="216">
        <v>5</v>
      </c>
      <c r="X29" s="216" t="s">
        <v>44</v>
      </c>
    </row>
    <row r="30" spans="2:27" x14ac:dyDescent="0.3">
      <c r="D30" s="175"/>
      <c r="E30" s="215" t="s">
        <v>236</v>
      </c>
      <c r="F30" s="221"/>
      <c r="G30" s="221"/>
      <c r="H30" s="221"/>
      <c r="I30" s="221"/>
      <c r="J30" s="221"/>
      <c r="K30" s="221"/>
      <c r="L30" s="228">
        <f>SUM(F30:K30)</f>
        <v>0</v>
      </c>
      <c r="M30" s="50"/>
      <c r="P30" s="175"/>
      <c r="Q30" s="215" t="s">
        <v>236</v>
      </c>
      <c r="R30" s="217"/>
      <c r="S30" s="217"/>
      <c r="T30" s="217"/>
      <c r="U30" s="217"/>
      <c r="V30" s="217"/>
      <c r="W30" s="217"/>
      <c r="X30" s="228">
        <f>SUM(R30:W30)</f>
        <v>0</v>
      </c>
    </row>
    <row r="31" spans="2:27" s="8" customFormat="1" x14ac:dyDescent="0.3">
      <c r="B31" s="31"/>
      <c r="C31" s="31"/>
      <c r="D31" s="175"/>
      <c r="E31" s="215" t="s">
        <v>237</v>
      </c>
      <c r="F31" s="275">
        <f>IFERROR(INDEX($AA$3:$AE$10,MATCH(F$29,$AA$3:$AA$10,0),MATCH(Summary!$I$9,$AA$3:$AE$3,0)),0)</f>
        <v>0</v>
      </c>
      <c r="G31" s="275">
        <f>IFERROR(INDEX($AA$3:$AE$10,MATCH(G$29,$AA$3:$AA$10,0),MATCH(Summary!$I$9,$AA$3:$AE$3,0)),0)</f>
        <v>0</v>
      </c>
      <c r="H31" s="275">
        <f>IFERROR(INDEX($AA$3:$AE$10,MATCH(H$29,$AA$3:$AA$10,0),MATCH(Summary!$I$9,$AA$3:$AE$3,0)),0)</f>
        <v>0</v>
      </c>
      <c r="I31" s="275">
        <f>IFERROR(INDEX($AA$3:$AE$10,MATCH(I$29,$AA$3:$AA$10,0),MATCH(Summary!$I$9,$AA$3:$AE$3,0)),0)</f>
        <v>0</v>
      </c>
      <c r="J31" s="275">
        <f>IFERROR(INDEX($AA$3:$AE$10,MATCH(J$29,$AA$3:$AA$10,0),MATCH(Summary!$I$9,$AA$3:$AE$3,0)),0)</f>
        <v>0</v>
      </c>
      <c r="K31" s="275">
        <f>IFERROR(INDEX($AA$3:$AE$10,MATCH(K$29,$AA$3:$AA$10,0),MATCH(Summary!$I$9,$AA$3:$AE$3,0)),0)</f>
        <v>0</v>
      </c>
      <c r="L31" s="219"/>
      <c r="M31" s="51"/>
      <c r="N31" s="31"/>
      <c r="O31" s="31"/>
      <c r="P31" s="175"/>
      <c r="Q31" s="215" t="s">
        <v>237</v>
      </c>
      <c r="R31" s="275">
        <f>IFERROR(INDEX($AA$3:$AE$10,MATCH(R$29,$AA$3:$AA$10,0),MATCH(Summary!$W$9,$AA$3:$AE$3,0)),0)</f>
        <v>0</v>
      </c>
      <c r="S31" s="275">
        <f>IFERROR(INDEX($AA$3:$AE$10,MATCH(S$29,$AA$3:$AA$10,0),MATCH(Summary!$W$9,$AA$3:$AE$3,0)),0)</f>
        <v>0</v>
      </c>
      <c r="T31" s="275">
        <f>IFERROR(INDEX($AA$3:$AE$10,MATCH(T$29,$AA$3:$AA$10,0),MATCH(Summary!$W$9,$AA$3:$AE$3,0)),0)</f>
        <v>0</v>
      </c>
      <c r="U31" s="275">
        <f>IFERROR(INDEX($AA$3:$AE$10,MATCH(U$29,$AA$3:$AA$10,0),MATCH(Summary!$W$9,$AA$3:$AE$3,0)),0)</f>
        <v>0</v>
      </c>
      <c r="V31" s="275">
        <f>IFERROR(INDEX($AA$3:$AE$10,MATCH(V$29,$AA$3:$AA$10,0),MATCH(Summary!$W$9,$AA$3:$AE$3,0)),0)</f>
        <v>0</v>
      </c>
      <c r="W31" s="275">
        <f>IFERROR(INDEX($AA$3:$AE$10,MATCH(W$29,$AA$3:$AA$10,0),MATCH(Summary!$W$9,$AA$3:$AE$3,0)),0)</f>
        <v>0</v>
      </c>
      <c r="X31" s="219"/>
    </row>
    <row r="32" spans="2:27" x14ac:dyDescent="0.3">
      <c r="D32" s="175"/>
      <c r="E32" s="215" t="s">
        <v>238</v>
      </c>
      <c r="F32" s="275">
        <f>F31*F30</f>
        <v>0</v>
      </c>
      <c r="G32" s="275">
        <f t="shared" ref="G32:K32" si="0">G31*G30</f>
        <v>0</v>
      </c>
      <c r="H32" s="275">
        <f t="shared" si="0"/>
        <v>0</v>
      </c>
      <c r="I32" s="275">
        <f t="shared" si="0"/>
        <v>0</v>
      </c>
      <c r="J32" s="275">
        <f t="shared" si="0"/>
        <v>0</v>
      </c>
      <c r="K32" s="275">
        <f t="shared" si="0"/>
        <v>0</v>
      </c>
      <c r="L32" s="218">
        <f>SUM(F32:K32)</f>
        <v>0</v>
      </c>
      <c r="M32" s="50"/>
      <c r="P32" s="175"/>
      <c r="Q32" s="215" t="s">
        <v>238</v>
      </c>
      <c r="R32" s="275">
        <f>R31*R30</f>
        <v>0</v>
      </c>
      <c r="S32" s="275">
        <f t="shared" ref="S32" si="1">S31*S30</f>
        <v>0</v>
      </c>
      <c r="T32" s="275">
        <f t="shared" ref="T32" si="2">T31*T30</f>
        <v>0</v>
      </c>
      <c r="U32" s="275">
        <f t="shared" ref="U32" si="3">U31*U30</f>
        <v>0</v>
      </c>
      <c r="V32" s="275">
        <f>V31*V30</f>
        <v>0</v>
      </c>
      <c r="W32" s="275">
        <f t="shared" ref="W32" si="4">W31*W30</f>
        <v>0</v>
      </c>
      <c r="X32" s="218">
        <f>SUM(R32:W32)</f>
        <v>0</v>
      </c>
    </row>
    <row r="33" spans="2:24" x14ac:dyDescent="0.3">
      <c r="E33" s="8"/>
      <c r="M33" s="50"/>
      <c r="Q33" s="8"/>
    </row>
    <row r="34" spans="2:24" x14ac:dyDescent="0.3">
      <c r="E34" s="176"/>
      <c r="F34" s="176" t="s">
        <v>244</v>
      </c>
      <c r="G34" s="176"/>
      <c r="H34" s="176"/>
      <c r="I34" s="176"/>
      <c r="K34" s="215" t="s">
        <v>239</v>
      </c>
      <c r="L34" s="209">
        <f>L32</f>
        <v>0</v>
      </c>
      <c r="M34" s="50"/>
      <c r="Q34" s="176"/>
      <c r="R34" s="176" t="s">
        <v>244</v>
      </c>
      <c r="S34" s="176"/>
      <c r="T34" s="176"/>
      <c r="U34" s="176"/>
      <c r="W34" s="215" t="s">
        <v>239</v>
      </c>
      <c r="X34" s="209">
        <f>X32</f>
        <v>0</v>
      </c>
    </row>
    <row r="35" spans="2:24" x14ac:dyDescent="0.3">
      <c r="D35" s="175"/>
      <c r="E35" s="220"/>
      <c r="F35" s="546"/>
      <c r="G35" s="546"/>
      <c r="H35" s="546"/>
      <c r="I35" s="8"/>
      <c r="J35" s="8"/>
      <c r="K35" s="215" t="s">
        <v>240</v>
      </c>
      <c r="L35" s="222"/>
      <c r="M35" s="50"/>
      <c r="P35" s="175"/>
      <c r="Q35" s="220"/>
      <c r="R35" s="547"/>
      <c r="S35" s="547"/>
      <c r="T35" s="547"/>
      <c r="U35" s="8"/>
      <c r="V35" s="8"/>
      <c r="W35" s="215" t="s">
        <v>240</v>
      </c>
      <c r="X35" s="210"/>
    </row>
    <row r="36" spans="2:24" x14ac:dyDescent="0.3">
      <c r="D36" s="175"/>
      <c r="E36" s="220"/>
      <c r="F36" s="8"/>
      <c r="G36" s="8"/>
      <c r="H36" s="8"/>
      <c r="I36" s="8"/>
      <c r="J36" s="8"/>
      <c r="K36" s="215" t="s">
        <v>249</v>
      </c>
      <c r="L36" s="223"/>
      <c r="M36" s="50"/>
      <c r="P36" s="175"/>
      <c r="Q36" s="220"/>
      <c r="R36" s="8"/>
      <c r="S36" s="8"/>
      <c r="T36" s="8"/>
      <c r="U36" s="8"/>
      <c r="V36" s="8"/>
      <c r="W36" s="215" t="s">
        <v>249</v>
      </c>
      <c r="X36" s="211"/>
    </row>
    <row r="37" spans="2:24" x14ac:dyDescent="0.3">
      <c r="D37" s="175"/>
      <c r="E37" s="220"/>
      <c r="F37" s="8"/>
      <c r="G37" s="8"/>
      <c r="H37" s="8"/>
      <c r="I37" s="8"/>
      <c r="K37" s="207"/>
      <c r="M37" s="50"/>
      <c r="P37" s="175"/>
      <c r="Q37" s="220"/>
      <c r="R37" s="8"/>
      <c r="S37" s="8"/>
      <c r="T37" s="8"/>
      <c r="U37" s="8"/>
      <c r="W37" s="207"/>
    </row>
    <row r="38" spans="2:24" x14ac:dyDescent="0.3">
      <c r="J38" s="8"/>
      <c r="K38" s="215" t="s">
        <v>243</v>
      </c>
      <c r="L38" s="212" t="str">
        <f>IFERROR(L35/L34,"")</f>
        <v/>
      </c>
      <c r="M38" s="50"/>
      <c r="V38" s="8"/>
      <c r="W38" s="215" t="s">
        <v>243</v>
      </c>
      <c r="X38" s="212" t="str">
        <f>IFERROR(X35/X34,"")</f>
        <v/>
      </c>
    </row>
    <row r="39" spans="2:24" x14ac:dyDescent="0.3">
      <c r="E39" s="8"/>
      <c r="K39" s="215" t="s">
        <v>242</v>
      </c>
      <c r="L39" s="213" t="str">
        <f>IFERROR(L35/L36,"")</f>
        <v/>
      </c>
      <c r="M39" s="50"/>
      <c r="Q39" s="8"/>
      <c r="W39" s="215" t="s">
        <v>242</v>
      </c>
      <c r="X39" s="213" t="str">
        <f>IFERROR(X35/X36,"")</f>
        <v/>
      </c>
    </row>
    <row r="40" spans="2:24" x14ac:dyDescent="0.3">
      <c r="E40" s="8"/>
      <c r="F40" s="165"/>
      <c r="K40" s="207"/>
      <c r="M40" s="50"/>
      <c r="Q40" s="8"/>
      <c r="R40" s="165"/>
      <c r="W40" s="207"/>
    </row>
    <row r="41" spans="2:24" x14ac:dyDescent="0.3">
      <c r="E41" s="8"/>
      <c r="K41" s="208"/>
      <c r="M41" s="50"/>
      <c r="Q41" s="8"/>
    </row>
    <row r="42" spans="2:24" s="8" customFormat="1" x14ac:dyDescent="0.3">
      <c r="B42" s="31"/>
      <c r="C42" s="31"/>
      <c r="M42" s="51"/>
      <c r="N42" s="31"/>
      <c r="O42" s="31"/>
    </row>
  </sheetData>
  <sheetProtection algorithmName="SHA-512" hashValue="n3UOFzpdKu0ryExv7vJuDCV1DEWtSWeAFIR+L2jNmDHj6H2Y94tSYhOJ8v6301PbfP4WmKe/iKyfhCOm64uz5Q==" saltValue="16KOT+wqAJBQjp/s5AjCWQ==" spinCount="100000" sheet="1" selectLockedCells="1"/>
  <protectedRanges>
    <protectedRange sqref="E31:E32 E35:E37 Q31:Q32 Q35:Q37" name="Range1"/>
  </protectedRanges>
  <mergeCells count="28">
    <mergeCell ref="F35:H35"/>
    <mergeCell ref="R35:T35"/>
    <mergeCell ref="G6:K6"/>
    <mergeCell ref="D3:L3"/>
    <mergeCell ref="D2:L2"/>
    <mergeCell ref="P2:X2"/>
    <mergeCell ref="D27:L27"/>
    <mergeCell ref="G8:H8"/>
    <mergeCell ref="S8:T8"/>
    <mergeCell ref="D25:L25"/>
    <mergeCell ref="D13:L14"/>
    <mergeCell ref="D26:L26"/>
    <mergeCell ref="P27:X27"/>
    <mergeCell ref="F20:K20"/>
    <mergeCell ref="F21:K21"/>
    <mergeCell ref="R20:W20"/>
    <mergeCell ref="D23:L23"/>
    <mergeCell ref="P23:X23"/>
    <mergeCell ref="P25:X25"/>
    <mergeCell ref="P26:X26"/>
    <mergeCell ref="AA2:AE2"/>
    <mergeCell ref="R21:W21"/>
    <mergeCell ref="P3:X3"/>
    <mergeCell ref="P13:X14"/>
    <mergeCell ref="F16:K16"/>
    <mergeCell ref="F17:K17"/>
    <mergeCell ref="R16:W16"/>
    <mergeCell ref="R17:W17"/>
  </mergeCells>
  <dataValidations count="2">
    <dataValidation operator="greaterThanOrEqual" showInputMessage="1" showErrorMessage="1" sqref="D37:I38 D36:J36 L36 J38:L38 D28:E35 I28:L35 F28:H34 P37:U38 X28:X36 V38:X38 P28:Q35 U32:W35 S32:T34 R28:R34 S28:W31 P36:V36" xr:uid="{D93BF1B8-976D-4BE9-ADA1-AD860662617C}"/>
    <dataValidation type="list" operator="greaterThanOrEqual" showInputMessage="1" showErrorMessage="1" sqref="F35 R35" xr:uid="{31464027-F63F-4D82-9BB6-DBBB35D5C75D}">
      <formula1>$AG$3:$AG$5</formula1>
    </dataValidation>
  </dataValidations>
  <pageMargins left="0.7" right="0.7" top="0.75" bottom="0.75" header="0.3" footer="0.3"/>
  <pageSetup scale="65" orientation="portrait" r:id="rId1"/>
  <headerFooter>
    <oddFooter>&amp;CTab: &amp;A&amp;RPrint Date: &amp;D</oddFoot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4"/>
  <dimension ref="B1:AD41"/>
  <sheetViews>
    <sheetView showGridLines="0" view="pageBreakPreview" zoomScaleNormal="100" zoomScaleSheetLayoutView="100" workbookViewId="0">
      <selection activeCell="F23" sqref="F23"/>
    </sheetView>
  </sheetViews>
  <sheetFormatPr defaultColWidth="9.109375" defaultRowHeight="15.6" x14ac:dyDescent="0.3"/>
  <cols>
    <col min="1" max="1" width="3.5546875" style="1" customWidth="1"/>
    <col min="2" max="2" width="3.88671875" style="1" hidden="1" customWidth="1"/>
    <col min="3" max="3" width="9.109375" style="1" hidden="1" customWidth="1"/>
    <col min="4" max="4" width="9.109375" style="31" hidden="1" customWidth="1"/>
    <col min="5" max="6" width="4.88671875" style="1" customWidth="1"/>
    <col min="7" max="7" width="4.33203125" style="1" customWidth="1"/>
    <col min="8" max="14" width="12.44140625" style="1" customWidth="1"/>
    <col min="15" max="15" width="3.5546875" style="1" customWidth="1"/>
    <col min="16" max="16" width="9.109375" style="30" hidden="1" customWidth="1"/>
    <col min="17" max="17" width="6" style="1" hidden="1" customWidth="1"/>
    <col min="18" max="18" width="9.109375" style="31" hidden="1" customWidth="1"/>
    <col min="19" max="20" width="4.88671875" style="1" customWidth="1"/>
    <col min="21" max="28" width="12.44140625" style="1" customWidth="1"/>
    <col min="29" max="29" width="9.109375" style="30" hidden="1" customWidth="1"/>
    <col min="30" max="16384" width="9.109375" style="1"/>
  </cols>
  <sheetData>
    <row r="1" spans="4:30" x14ac:dyDescent="0.3">
      <c r="Q1" s="50"/>
    </row>
    <row r="2" spans="4:30" x14ac:dyDescent="0.3">
      <c r="E2" s="410" t="s">
        <v>268</v>
      </c>
      <c r="F2" s="410"/>
      <c r="G2" s="410"/>
      <c r="H2" s="410"/>
      <c r="I2" s="410"/>
      <c r="J2" s="410"/>
      <c r="K2" s="410"/>
      <c r="L2" s="410"/>
      <c r="M2" s="410"/>
      <c r="N2" s="410"/>
      <c r="O2" s="230"/>
      <c r="Q2" s="50"/>
      <c r="S2" s="410" t="s">
        <v>268</v>
      </c>
      <c r="T2" s="410"/>
      <c r="U2" s="410"/>
      <c r="V2" s="410"/>
      <c r="W2" s="410"/>
      <c r="X2" s="410"/>
      <c r="Y2" s="410"/>
      <c r="Z2" s="410"/>
      <c r="AA2" s="410"/>
      <c r="AB2" s="410"/>
    </row>
    <row r="3" spans="4:30" ht="16.2" thickBot="1" x14ac:dyDescent="0.35">
      <c r="E3" s="411" t="s">
        <v>53</v>
      </c>
      <c r="F3" s="411"/>
      <c r="G3" s="411"/>
      <c r="H3" s="411"/>
      <c r="I3" s="411"/>
      <c r="J3" s="411"/>
      <c r="K3" s="411"/>
      <c r="L3" s="411"/>
      <c r="M3" s="411"/>
      <c r="N3" s="411"/>
      <c r="O3" s="2"/>
      <c r="Q3" s="50"/>
      <c r="S3" s="411" t="s">
        <v>54</v>
      </c>
      <c r="T3" s="411"/>
      <c r="U3" s="411"/>
      <c r="V3" s="411"/>
      <c r="W3" s="411"/>
      <c r="X3" s="411"/>
      <c r="Y3" s="411"/>
      <c r="Z3" s="411"/>
      <c r="AA3" s="411"/>
      <c r="AB3" s="411"/>
    </row>
    <row r="4" spans="4:30" x14ac:dyDescent="0.3">
      <c r="E4" s="2"/>
      <c r="F4" s="2"/>
      <c r="G4" s="2"/>
      <c r="H4" s="2"/>
      <c r="I4" s="2"/>
      <c r="J4" s="2"/>
      <c r="K4" s="2"/>
      <c r="L4" s="2"/>
      <c r="M4" s="2"/>
      <c r="N4" s="2"/>
      <c r="O4" s="2"/>
      <c r="Q4" s="50"/>
      <c r="S4" s="2"/>
      <c r="T4" s="2"/>
      <c r="U4" s="2"/>
      <c r="V4" s="2"/>
      <c r="W4" s="2"/>
      <c r="X4" s="2"/>
      <c r="Y4" s="2"/>
      <c r="Z4" s="2"/>
      <c r="AA4" s="2"/>
      <c r="AB4" s="2"/>
    </row>
    <row r="5" spans="4:30" x14ac:dyDescent="0.3">
      <c r="F5" s="2"/>
      <c r="H5" s="56" t="s">
        <v>0</v>
      </c>
      <c r="I5" s="21" t="str">
        <f>IF(Summary!$E$5="","",Summary!$E$5)</f>
        <v/>
      </c>
      <c r="J5" s="86"/>
      <c r="K5" s="86"/>
      <c r="L5" s="86"/>
      <c r="M5" s="86"/>
      <c r="N5" s="2"/>
      <c r="O5" s="2"/>
      <c r="P5" s="185"/>
      <c r="Q5" s="52"/>
      <c r="T5" s="2"/>
      <c r="V5" s="56" t="s">
        <v>0</v>
      </c>
      <c r="W5" s="21" t="str">
        <f>IF(Summary!$S$5="","",Summary!$S$5)</f>
        <v/>
      </c>
      <c r="X5" s="86"/>
      <c r="Y5" s="86"/>
      <c r="Z5" s="86"/>
      <c r="AA5" s="86"/>
      <c r="AB5" s="2"/>
      <c r="AC5" s="185"/>
      <c r="AD5" s="2"/>
    </row>
    <row r="6" spans="4:30" x14ac:dyDescent="0.3">
      <c r="H6" s="56" t="s">
        <v>1</v>
      </c>
      <c r="I6" s="515" t="str">
        <f>IF(Summary!E6="","",Summary!E6)</f>
        <v/>
      </c>
      <c r="J6" s="516"/>
      <c r="K6" s="516"/>
      <c r="L6" s="516"/>
      <c r="M6" s="517"/>
      <c r="Q6" s="52"/>
      <c r="V6" s="56" t="s">
        <v>1</v>
      </c>
      <c r="W6" s="515" t="str">
        <f>IF(Summary!$S6="","",Summary!$S6)</f>
        <v/>
      </c>
      <c r="X6" s="516"/>
      <c r="Y6" s="516"/>
      <c r="Z6" s="516"/>
      <c r="AA6" s="517"/>
      <c r="AD6" s="2"/>
    </row>
    <row r="7" spans="4:30" x14ac:dyDescent="0.3">
      <c r="H7" s="56"/>
      <c r="I7" s="182"/>
      <c r="J7" s="182"/>
      <c r="K7" s="86"/>
      <c r="L7" s="86"/>
      <c r="M7" s="86"/>
      <c r="Q7" s="52"/>
      <c r="V7" s="56"/>
      <c r="W7" s="182"/>
      <c r="X7" s="182"/>
      <c r="Y7" s="86"/>
      <c r="Z7" s="86"/>
      <c r="AA7" s="86"/>
      <c r="AD7" s="2"/>
    </row>
    <row r="8" spans="4:30" x14ac:dyDescent="0.3">
      <c r="H8" s="56" t="s">
        <v>48</v>
      </c>
      <c r="I8" s="518" t="str">
        <f>IF(Summary!E8="","",Summary!E8)</f>
        <v/>
      </c>
      <c r="J8" s="518"/>
      <c r="K8" s="86"/>
      <c r="L8" s="86"/>
      <c r="M8" s="86"/>
      <c r="Q8" s="50"/>
      <c r="V8" s="56" t="s">
        <v>48</v>
      </c>
      <c r="W8" s="526" t="str">
        <f>IF(Summary!$S8="","",Summary!$S8)</f>
        <v/>
      </c>
      <c r="X8" s="527"/>
      <c r="Y8" s="86"/>
      <c r="Z8" s="86"/>
      <c r="AA8" s="86"/>
    </row>
    <row r="9" spans="4:30" x14ac:dyDescent="0.3">
      <c r="H9" s="56"/>
      <c r="I9" s="24"/>
      <c r="J9" s="25"/>
      <c r="K9" s="86"/>
      <c r="L9" s="86"/>
      <c r="M9" s="86"/>
      <c r="Q9" s="50"/>
      <c r="V9" s="56"/>
      <c r="W9" s="24"/>
      <c r="X9" s="25"/>
      <c r="Y9" s="86"/>
      <c r="Z9" s="86"/>
      <c r="AA9" s="86"/>
    </row>
    <row r="10" spans="4:30" x14ac:dyDescent="0.3">
      <c r="H10" s="56" t="s">
        <v>45</v>
      </c>
      <c r="I10" s="23">
        <f>IF(AND(E19="",E20=""),SUM(E23:E30),0)</f>
        <v>0</v>
      </c>
      <c r="J10" s="84"/>
      <c r="K10" s="86"/>
      <c r="L10" s="86"/>
      <c r="M10" s="86"/>
      <c r="Q10" s="50"/>
      <c r="V10" s="56" t="s">
        <v>46</v>
      </c>
      <c r="W10" s="23">
        <f>IF(AND(S19="",S20=""),SUM(S23:S30),0)</f>
        <v>0</v>
      </c>
      <c r="X10" s="84"/>
      <c r="Y10" s="86"/>
      <c r="Z10" s="86"/>
      <c r="AA10" s="86"/>
    </row>
    <row r="11" spans="4:30" ht="16.2" thickBot="1" x14ac:dyDescent="0.35">
      <c r="E11" s="3"/>
      <c r="F11" s="3"/>
      <c r="G11" s="3"/>
      <c r="H11" s="3"/>
      <c r="I11" s="3"/>
      <c r="J11" s="3"/>
      <c r="K11" s="3"/>
      <c r="L11" s="3"/>
      <c r="M11" s="3"/>
      <c r="N11" s="3"/>
      <c r="Q11" s="50"/>
      <c r="S11" s="3"/>
      <c r="T11" s="3"/>
      <c r="U11" s="3"/>
      <c r="V11" s="3"/>
      <c r="W11" s="3"/>
      <c r="X11" s="3"/>
      <c r="Y11" s="3"/>
      <c r="Z11" s="3"/>
      <c r="AA11" s="3"/>
      <c r="AB11" s="3"/>
    </row>
    <row r="12" spans="4:30" x14ac:dyDescent="0.3">
      <c r="Q12" s="50"/>
    </row>
    <row r="13" spans="4:30" ht="33" customHeight="1" x14ac:dyDescent="0.35">
      <c r="D13" s="30"/>
      <c r="E13" s="434" t="s">
        <v>482</v>
      </c>
      <c r="F13" s="434"/>
      <c r="G13" s="434"/>
      <c r="H13" s="434"/>
      <c r="I13" s="434"/>
      <c r="J13" s="434"/>
      <c r="K13" s="434"/>
      <c r="L13" s="434"/>
      <c r="M13" s="434"/>
      <c r="N13" s="434"/>
      <c r="O13" s="277"/>
      <c r="P13" s="241"/>
      <c r="Q13" s="242"/>
      <c r="R13" s="241"/>
      <c r="S13" s="434" t="s">
        <v>482</v>
      </c>
      <c r="T13" s="434"/>
      <c r="U13" s="434"/>
      <c r="V13" s="434"/>
      <c r="W13" s="434"/>
      <c r="X13" s="434"/>
      <c r="Y13" s="434"/>
      <c r="Z13" s="434"/>
      <c r="AA13" s="434"/>
      <c r="AB13" s="434"/>
    </row>
    <row r="14" spans="4:30" ht="18" x14ac:dyDescent="0.35">
      <c r="D14" s="30"/>
      <c r="E14" s="335"/>
      <c r="F14" s="335"/>
      <c r="G14" s="335"/>
      <c r="H14" s="335"/>
      <c r="I14" s="335"/>
      <c r="J14" s="335"/>
      <c r="K14" s="335"/>
      <c r="L14" s="335"/>
      <c r="M14" s="335"/>
      <c r="N14" s="335"/>
      <c r="O14" s="277"/>
      <c r="P14" s="241"/>
      <c r="Q14" s="242"/>
      <c r="R14" s="241"/>
      <c r="S14" s="335"/>
      <c r="T14" s="335"/>
      <c r="U14" s="335"/>
      <c r="V14" s="335"/>
      <c r="W14" s="335"/>
      <c r="X14" s="335"/>
      <c r="Y14" s="335"/>
      <c r="Z14" s="335"/>
      <c r="AA14" s="335"/>
      <c r="AB14" s="335"/>
    </row>
    <row r="15" spans="4:30" ht="31.5" customHeight="1" x14ac:dyDescent="0.35">
      <c r="D15" s="30"/>
      <c r="E15" s="434" t="s">
        <v>514</v>
      </c>
      <c r="F15" s="434"/>
      <c r="G15" s="434"/>
      <c r="H15" s="434"/>
      <c r="I15" s="434"/>
      <c r="J15" s="434"/>
      <c r="K15" s="434"/>
      <c r="L15" s="434"/>
      <c r="M15" s="434"/>
      <c r="N15" s="434"/>
      <c r="O15" s="277"/>
      <c r="P15" s="241"/>
      <c r="Q15" s="242"/>
      <c r="R15" s="241"/>
      <c r="S15" s="434" t="s">
        <v>514</v>
      </c>
      <c r="T15" s="434"/>
      <c r="U15" s="434"/>
      <c r="V15" s="434"/>
      <c r="W15" s="434"/>
      <c r="X15" s="434"/>
      <c r="Y15" s="434"/>
      <c r="Z15" s="434"/>
      <c r="AA15" s="434"/>
      <c r="AB15" s="434"/>
    </row>
    <row r="16" spans="4:30" ht="18" x14ac:dyDescent="0.35">
      <c r="D16" s="30"/>
      <c r="E16" s="335"/>
      <c r="F16" s="335"/>
      <c r="G16" s="335"/>
      <c r="H16" s="335"/>
      <c r="I16" s="335"/>
      <c r="J16" s="335"/>
      <c r="K16" s="335"/>
      <c r="L16" s="335"/>
      <c r="M16" s="335"/>
      <c r="N16" s="335"/>
      <c r="O16" s="277"/>
      <c r="P16" s="241"/>
      <c r="Q16" s="242"/>
      <c r="R16" s="241"/>
      <c r="S16" s="335"/>
      <c r="T16" s="335"/>
      <c r="U16" s="335"/>
      <c r="V16" s="335"/>
      <c r="W16" s="335"/>
      <c r="X16" s="335"/>
      <c r="Y16" s="335"/>
      <c r="Z16" s="335"/>
      <c r="AA16" s="335"/>
      <c r="AB16" s="335"/>
    </row>
    <row r="17" spans="2:29" ht="78" customHeight="1" x14ac:dyDescent="0.35">
      <c r="D17" s="30"/>
      <c r="E17" s="434" t="s">
        <v>613</v>
      </c>
      <c r="F17" s="434"/>
      <c r="G17" s="434"/>
      <c r="H17" s="434"/>
      <c r="I17" s="434"/>
      <c r="J17" s="434"/>
      <c r="K17" s="434"/>
      <c r="L17" s="434"/>
      <c r="M17" s="434"/>
      <c r="N17" s="434"/>
      <c r="O17" s="277"/>
      <c r="P17" s="241"/>
      <c r="Q17" s="242"/>
      <c r="R17" s="241"/>
      <c r="S17" s="434" t="s">
        <v>613</v>
      </c>
      <c r="T17" s="434"/>
      <c r="U17" s="434"/>
      <c r="V17" s="434"/>
      <c r="W17" s="434"/>
      <c r="X17" s="434"/>
      <c r="Y17" s="434"/>
      <c r="Z17" s="434"/>
      <c r="AA17" s="434"/>
      <c r="AB17" s="434"/>
    </row>
    <row r="18" spans="2:29" ht="18" x14ac:dyDescent="0.35">
      <c r="D18" s="30" t="s">
        <v>3</v>
      </c>
      <c r="E18" s="335"/>
      <c r="F18" s="335"/>
      <c r="G18" s="335"/>
      <c r="H18" s="335"/>
      <c r="I18" s="335"/>
      <c r="J18" s="335"/>
      <c r="K18" s="335"/>
      <c r="L18" s="335"/>
      <c r="M18" s="335"/>
      <c r="N18" s="335"/>
      <c r="O18" s="277"/>
      <c r="P18" s="241"/>
      <c r="Q18" s="242"/>
      <c r="R18" s="30" t="s">
        <v>3</v>
      </c>
      <c r="S18" s="335"/>
      <c r="T18" s="335"/>
      <c r="U18" s="335"/>
      <c r="V18" s="335"/>
      <c r="W18" s="335"/>
      <c r="X18" s="335"/>
      <c r="Y18" s="335"/>
      <c r="Z18" s="335"/>
      <c r="AA18" s="335"/>
      <c r="AB18" s="335"/>
    </row>
    <row r="19" spans="2:29" x14ac:dyDescent="0.3">
      <c r="D19" s="1"/>
      <c r="E19" s="548" t="str">
        <f>IF(SUM(C23:C31)&gt;2,"ERROR: SELECT ONLY ONE GREEN BUILDING STANDARD","")</f>
        <v/>
      </c>
      <c r="F19" s="548"/>
      <c r="G19" s="548"/>
      <c r="H19" s="548"/>
      <c r="I19" s="548"/>
      <c r="J19" s="548"/>
      <c r="K19" s="548"/>
      <c r="L19" s="548"/>
      <c r="M19" s="548"/>
      <c r="N19" s="548"/>
      <c r="Q19" s="50"/>
      <c r="R19" s="1"/>
      <c r="S19" s="548" t="str">
        <f>IF(SUM(Q23:Q31)&gt;2,"ERROR: SELECT ONLY ONE GREEN BUILDING STANDARD","")</f>
        <v/>
      </c>
      <c r="T19" s="548"/>
      <c r="U19" s="548"/>
      <c r="V19" s="548"/>
      <c r="W19" s="548"/>
      <c r="X19" s="548"/>
      <c r="Y19" s="548"/>
      <c r="Z19" s="548"/>
      <c r="AA19" s="548"/>
      <c r="AB19" s="548"/>
    </row>
    <row r="20" spans="2:29" x14ac:dyDescent="0.3">
      <c r="E20" s="542" t="str">
        <f>IF(AND(F24="X",F23=""),"ERROR: MUST SELECT '2020 ENTERPRISE GREEN COMMUNITIES' IF SELECTING 'MOVING TO ZERO CARBON'","")</f>
        <v/>
      </c>
      <c r="F20" s="542"/>
      <c r="G20" s="542"/>
      <c r="H20" s="542"/>
      <c r="I20" s="542"/>
      <c r="J20" s="542"/>
      <c r="K20" s="542"/>
      <c r="L20" s="542"/>
      <c r="M20" s="542"/>
      <c r="N20" s="542"/>
      <c r="Q20" s="50"/>
      <c r="S20" s="542" t="str">
        <f>IF(AND(T24="X",T23=""),"ERROR: MUST SELECT '2020 ENTERPRISE GREEN COMMUNITIES' IF SELECTING 'MOVING TO ZERO CARBON'","")</f>
        <v/>
      </c>
      <c r="T20" s="542"/>
      <c r="U20" s="542"/>
      <c r="V20" s="542"/>
      <c r="W20" s="542"/>
      <c r="X20" s="542"/>
      <c r="Y20" s="542"/>
      <c r="Z20" s="542"/>
      <c r="AA20" s="542"/>
      <c r="AB20" s="542"/>
    </row>
    <row r="21" spans="2:29" ht="16.2" thickBot="1" x14ac:dyDescent="0.35">
      <c r="E21" s="407" t="s">
        <v>270</v>
      </c>
      <c r="F21" s="407"/>
      <c r="G21" s="407"/>
      <c r="H21" s="407"/>
      <c r="I21" s="407"/>
      <c r="J21" s="407"/>
      <c r="K21" s="407"/>
      <c r="L21" s="407"/>
      <c r="M21" s="407"/>
      <c r="N21" s="407"/>
      <c r="O21" s="230"/>
      <c r="Q21" s="50"/>
      <c r="S21" s="407" t="s">
        <v>270</v>
      </c>
      <c r="T21" s="407"/>
      <c r="U21" s="407"/>
      <c r="V21" s="407"/>
      <c r="W21" s="407"/>
      <c r="X21" s="407"/>
      <c r="Y21" s="407"/>
      <c r="Z21" s="407"/>
      <c r="AA21" s="407"/>
      <c r="AB21" s="407"/>
    </row>
    <row r="22" spans="2:29" x14ac:dyDescent="0.3">
      <c r="D22" s="74"/>
      <c r="G22" s="7"/>
      <c r="H22" s="7"/>
      <c r="I22" s="7"/>
      <c r="J22" s="7"/>
      <c r="K22" s="7"/>
      <c r="L22" s="7"/>
      <c r="M22" s="7"/>
      <c r="N22" s="7"/>
      <c r="O22" s="7"/>
      <c r="Q22" s="50"/>
      <c r="R22" s="74" t="s">
        <v>52</v>
      </c>
      <c r="U22" s="7"/>
      <c r="V22" s="7"/>
      <c r="W22" s="7"/>
      <c r="X22" s="7"/>
      <c r="Y22" s="7"/>
      <c r="Z22" s="7"/>
      <c r="AA22" s="7"/>
      <c r="AB22" s="7"/>
    </row>
    <row r="23" spans="2:29" ht="33.75" customHeight="1" x14ac:dyDescent="0.3">
      <c r="B23" s="1">
        <v>7</v>
      </c>
      <c r="C23" s="1">
        <f t="shared" ref="C23:C24" si="0">IF(F23="X",1,0)</f>
        <v>0</v>
      </c>
      <c r="D23" s="549"/>
      <c r="E23" s="95" t="str">
        <f>IF(F23="X",B23,"")</f>
        <v/>
      </c>
      <c r="F23" s="27"/>
      <c r="G23" s="444" t="s">
        <v>271</v>
      </c>
      <c r="H23" s="444"/>
      <c r="I23" s="444"/>
      <c r="J23" s="444"/>
      <c r="K23" s="444"/>
      <c r="L23" s="444"/>
      <c r="M23" s="444"/>
      <c r="N23" s="444"/>
      <c r="O23" s="80"/>
      <c r="P23" s="1">
        <v>7</v>
      </c>
      <c r="Q23" s="1">
        <f t="shared" ref="Q23" si="1">IF(T23="X",1,0)</f>
        <v>0</v>
      </c>
      <c r="R23" s="549"/>
      <c r="S23" s="95" t="str">
        <f>IF(T23="X",P23,"")</f>
        <v/>
      </c>
      <c r="T23" s="77"/>
      <c r="U23" s="444" t="s">
        <v>271</v>
      </c>
      <c r="V23" s="444"/>
      <c r="W23" s="444"/>
      <c r="X23" s="444"/>
      <c r="Y23" s="444"/>
      <c r="Z23" s="444"/>
      <c r="AA23" s="444"/>
      <c r="AB23" s="444"/>
      <c r="AC23" s="30">
        <f>IF(T23="X",1,0)</f>
        <v>0</v>
      </c>
    </row>
    <row r="24" spans="2:29" ht="26.4" customHeight="1" x14ac:dyDescent="0.3">
      <c r="B24" s="1">
        <v>3</v>
      </c>
      <c r="C24" s="1">
        <f t="shared" si="0"/>
        <v>0</v>
      </c>
      <c r="D24" s="549"/>
      <c r="E24" s="95" t="str">
        <f t="shared" ref="E24:E31" si="2">IF(F24="X",B24,"")</f>
        <v/>
      </c>
      <c r="F24" s="27"/>
      <c r="G24" s="495" t="s">
        <v>389</v>
      </c>
      <c r="H24" s="496"/>
      <c r="I24" s="496"/>
      <c r="J24" s="496"/>
      <c r="K24" s="496"/>
      <c r="L24" s="496"/>
      <c r="M24" s="496"/>
      <c r="N24" s="497"/>
      <c r="O24" s="80"/>
      <c r="P24" s="1">
        <v>3</v>
      </c>
      <c r="Q24" s="1">
        <f>IF(T24="X",1,0)</f>
        <v>0</v>
      </c>
      <c r="R24" s="549"/>
      <c r="S24" s="95" t="str">
        <f t="shared" ref="S24:S30" si="3">IF(T24="X",P24,"")</f>
        <v/>
      </c>
      <c r="T24" s="77"/>
      <c r="U24" s="495" t="s">
        <v>389</v>
      </c>
      <c r="V24" s="496"/>
      <c r="W24" s="496"/>
      <c r="X24" s="496"/>
      <c r="Y24" s="496"/>
      <c r="Z24" s="496"/>
      <c r="AA24" s="496"/>
      <c r="AB24" s="497"/>
    </row>
    <row r="25" spans="2:29" ht="33.75" customHeight="1" x14ac:dyDescent="0.3">
      <c r="B25" s="1">
        <v>7</v>
      </c>
      <c r="C25" s="1">
        <f>IF(F25="X",2,0)</f>
        <v>0</v>
      </c>
      <c r="D25" s="549"/>
      <c r="E25" s="95" t="str">
        <f t="shared" si="2"/>
        <v/>
      </c>
      <c r="F25" s="27"/>
      <c r="G25" s="444" t="s">
        <v>512</v>
      </c>
      <c r="H25" s="444"/>
      <c r="I25" s="444"/>
      <c r="J25" s="444"/>
      <c r="K25" s="444"/>
      <c r="L25" s="444"/>
      <c r="M25" s="444"/>
      <c r="N25" s="444"/>
      <c r="O25" s="80"/>
      <c r="P25" s="1">
        <v>7</v>
      </c>
      <c r="Q25" s="1">
        <f>IF(T25="X",2,0)</f>
        <v>0</v>
      </c>
      <c r="R25" s="549"/>
      <c r="S25" s="95" t="str">
        <f>IF(T25="X",P25,"")</f>
        <v/>
      </c>
      <c r="T25" s="77"/>
      <c r="U25" s="444" t="s">
        <v>512</v>
      </c>
      <c r="V25" s="444"/>
      <c r="W25" s="444"/>
      <c r="X25" s="444"/>
      <c r="Y25" s="444"/>
      <c r="Z25" s="444"/>
      <c r="AA25" s="444"/>
      <c r="AB25" s="444"/>
      <c r="AC25" s="30">
        <f>IF(T25="X",1,0)</f>
        <v>0</v>
      </c>
    </row>
    <row r="26" spans="2:29" ht="33.75" customHeight="1" x14ac:dyDescent="0.3">
      <c r="B26" s="1">
        <v>10</v>
      </c>
      <c r="C26" s="1">
        <f t="shared" ref="C26:C29" si="4">IF(F26="X",2,0)</f>
        <v>0</v>
      </c>
      <c r="D26" s="549"/>
      <c r="E26" s="95" t="str">
        <f t="shared" si="2"/>
        <v/>
      </c>
      <c r="F26" s="27"/>
      <c r="G26" s="444" t="s">
        <v>513</v>
      </c>
      <c r="H26" s="444"/>
      <c r="I26" s="444"/>
      <c r="J26" s="444"/>
      <c r="K26" s="444"/>
      <c r="L26" s="444"/>
      <c r="M26" s="444"/>
      <c r="N26" s="444"/>
      <c r="O26" s="80"/>
      <c r="P26" s="1">
        <v>10</v>
      </c>
      <c r="Q26" s="1">
        <f t="shared" ref="Q26:Q29" si="5">IF(T26="X",2,0)</f>
        <v>0</v>
      </c>
      <c r="R26" s="549"/>
      <c r="S26" s="95" t="str">
        <f>IF(T26="X",P26,"")</f>
        <v/>
      </c>
      <c r="T26" s="77"/>
      <c r="U26" s="444" t="s">
        <v>513</v>
      </c>
      <c r="V26" s="444"/>
      <c r="W26" s="444"/>
      <c r="X26" s="444"/>
      <c r="Y26" s="444"/>
      <c r="Z26" s="444"/>
      <c r="AA26" s="444"/>
      <c r="AB26" s="444"/>
    </row>
    <row r="27" spans="2:29" ht="36.75" customHeight="1" x14ac:dyDescent="0.3">
      <c r="B27" s="1">
        <v>7</v>
      </c>
      <c r="C27" s="1">
        <f t="shared" si="4"/>
        <v>0</v>
      </c>
      <c r="D27" s="549"/>
      <c r="E27" s="281" t="str">
        <f t="shared" si="2"/>
        <v/>
      </c>
      <c r="F27" s="27"/>
      <c r="G27" s="509" t="s">
        <v>272</v>
      </c>
      <c r="H27" s="510"/>
      <c r="I27" s="510"/>
      <c r="J27" s="510"/>
      <c r="K27" s="510"/>
      <c r="L27" s="510"/>
      <c r="M27" s="510"/>
      <c r="N27" s="511"/>
      <c r="O27" s="80"/>
      <c r="P27" s="1">
        <v>7</v>
      </c>
      <c r="Q27" s="1">
        <f t="shared" si="5"/>
        <v>0</v>
      </c>
      <c r="R27" s="549"/>
      <c r="S27" s="281" t="str">
        <f t="shared" si="3"/>
        <v/>
      </c>
      <c r="T27" s="77"/>
      <c r="U27" s="509" t="s">
        <v>272</v>
      </c>
      <c r="V27" s="510"/>
      <c r="W27" s="510"/>
      <c r="X27" s="510"/>
      <c r="Y27" s="510"/>
      <c r="Z27" s="510"/>
      <c r="AA27" s="510"/>
      <c r="AB27" s="511"/>
      <c r="AC27" s="30">
        <f>IF(T27="X",1,0)</f>
        <v>0</v>
      </c>
    </row>
    <row r="28" spans="2:29" ht="33.75" customHeight="1" x14ac:dyDescent="0.3">
      <c r="B28" s="1">
        <v>10</v>
      </c>
      <c r="C28" s="1">
        <f t="shared" si="4"/>
        <v>0</v>
      </c>
      <c r="D28" s="549"/>
      <c r="E28" s="281" t="str">
        <f t="shared" si="2"/>
        <v/>
      </c>
      <c r="F28" s="27"/>
      <c r="G28" s="509" t="s">
        <v>509</v>
      </c>
      <c r="H28" s="510"/>
      <c r="I28" s="510"/>
      <c r="J28" s="510"/>
      <c r="K28" s="510"/>
      <c r="L28" s="510"/>
      <c r="M28" s="510"/>
      <c r="N28" s="511"/>
      <c r="O28" s="80"/>
      <c r="P28" s="1">
        <v>10</v>
      </c>
      <c r="Q28" s="1">
        <f t="shared" si="5"/>
        <v>0</v>
      </c>
      <c r="R28" s="549"/>
      <c r="S28" s="281" t="str">
        <f t="shared" si="3"/>
        <v/>
      </c>
      <c r="T28" s="77"/>
      <c r="U28" s="509" t="s">
        <v>509</v>
      </c>
      <c r="V28" s="510"/>
      <c r="W28" s="510"/>
      <c r="X28" s="510"/>
      <c r="Y28" s="510"/>
      <c r="Z28" s="510"/>
      <c r="AA28" s="510"/>
      <c r="AB28" s="511"/>
      <c r="AC28" s="30">
        <f>IF(T28="X",1,0)</f>
        <v>0</v>
      </c>
    </row>
    <row r="29" spans="2:29" ht="33.75" customHeight="1" x14ac:dyDescent="0.3">
      <c r="B29" s="1">
        <v>9</v>
      </c>
      <c r="C29" s="1">
        <f t="shared" si="4"/>
        <v>0</v>
      </c>
      <c r="D29" s="549"/>
      <c r="E29" s="281" t="str">
        <f t="shared" si="2"/>
        <v/>
      </c>
      <c r="F29" s="27"/>
      <c r="G29" s="509" t="s">
        <v>510</v>
      </c>
      <c r="H29" s="510"/>
      <c r="I29" s="510"/>
      <c r="J29" s="510"/>
      <c r="K29" s="510"/>
      <c r="L29" s="510"/>
      <c r="M29" s="510"/>
      <c r="N29" s="511"/>
      <c r="O29" s="80"/>
      <c r="P29" s="1">
        <v>9</v>
      </c>
      <c r="Q29" s="1">
        <f t="shared" si="5"/>
        <v>0</v>
      </c>
      <c r="R29" s="549"/>
      <c r="S29" s="281" t="str">
        <f t="shared" si="3"/>
        <v/>
      </c>
      <c r="T29" s="77"/>
      <c r="U29" s="509" t="s">
        <v>510</v>
      </c>
      <c r="V29" s="510"/>
      <c r="W29" s="510"/>
      <c r="X29" s="510"/>
      <c r="Y29" s="510"/>
      <c r="Z29" s="510"/>
      <c r="AA29" s="510"/>
      <c r="AB29" s="511"/>
    </row>
    <row r="30" spans="2:29" ht="33.75" customHeight="1" x14ac:dyDescent="0.3">
      <c r="B30" s="1">
        <v>10</v>
      </c>
      <c r="C30" s="1">
        <f t="shared" ref="C30" si="6">IF(F30="X",2,0)</f>
        <v>0</v>
      </c>
      <c r="D30" s="549"/>
      <c r="E30" s="281" t="str">
        <f t="shared" si="2"/>
        <v/>
      </c>
      <c r="F30" s="27"/>
      <c r="G30" s="509" t="s">
        <v>511</v>
      </c>
      <c r="H30" s="510"/>
      <c r="I30" s="510"/>
      <c r="J30" s="510"/>
      <c r="K30" s="510"/>
      <c r="L30" s="510"/>
      <c r="M30" s="510"/>
      <c r="N30" s="511"/>
      <c r="O30" s="80"/>
      <c r="P30" s="1">
        <v>10</v>
      </c>
      <c r="Q30" s="1">
        <f t="shared" ref="Q30" si="7">IF(T30="X",2,0)</f>
        <v>0</v>
      </c>
      <c r="R30" s="549"/>
      <c r="S30" s="281" t="str">
        <f t="shared" si="3"/>
        <v/>
      </c>
      <c r="T30" s="77"/>
      <c r="U30" s="509" t="s">
        <v>511</v>
      </c>
      <c r="V30" s="510"/>
      <c r="W30" s="510"/>
      <c r="X30" s="510"/>
      <c r="Y30" s="510"/>
      <c r="Z30" s="510"/>
      <c r="AA30" s="510"/>
      <c r="AB30" s="511"/>
      <c r="AC30" s="30">
        <f>IF(T30="X",1,0)</f>
        <v>0</v>
      </c>
    </row>
    <row r="31" spans="2:29" ht="17.100000000000001" customHeight="1" x14ac:dyDescent="0.3">
      <c r="D31" s="549"/>
      <c r="E31" t="str">
        <f t="shared" si="2"/>
        <v/>
      </c>
      <c r="F31"/>
      <c r="G31"/>
      <c r="H31"/>
      <c r="I31"/>
      <c r="J31"/>
      <c r="K31"/>
      <c r="L31"/>
      <c r="M31"/>
      <c r="N31"/>
      <c r="O31" s="80"/>
      <c r="P31" s="1"/>
      <c r="R31" s="549"/>
      <c r="S31" s="8"/>
      <c r="T31" s="8"/>
      <c r="U31" s="8"/>
      <c r="V31" s="8"/>
      <c r="W31" s="8"/>
      <c r="X31" s="8"/>
      <c r="Y31" s="8"/>
      <c r="Z31" s="8"/>
      <c r="AA31" s="8"/>
      <c r="AB31" s="8"/>
      <c r="AC31" s="30">
        <f>IF(T31="X",1,0)</f>
        <v>0</v>
      </c>
    </row>
    <row r="32" spans="2:29" s="8" customFormat="1" ht="15" customHeight="1" x14ac:dyDescent="0.3">
      <c r="D32" s="31"/>
      <c r="P32" s="31"/>
      <c r="R32" s="31"/>
      <c r="AC32" s="31"/>
    </row>
    <row r="34" spans="3:22" ht="15" customHeight="1" x14ac:dyDescent="0.3">
      <c r="C34" s="9" t="s">
        <v>44</v>
      </c>
      <c r="D34" s="31">
        <f>SUM(D23:D30)</f>
        <v>0</v>
      </c>
      <c r="E34" s="9"/>
      <c r="F34" s="9"/>
      <c r="G34" s="7"/>
      <c r="Q34" s="9" t="s">
        <v>44</v>
      </c>
      <c r="R34" s="31" t="e">
        <f>SUM(#REF!+R23+R28)</f>
        <v>#REF!</v>
      </c>
      <c r="S34" s="9"/>
      <c r="T34" s="9"/>
      <c r="U34" s="7"/>
    </row>
    <row r="41" spans="3:22" x14ac:dyDescent="0.3">
      <c r="V41" s="2"/>
    </row>
  </sheetData>
  <sheetProtection algorithmName="SHA-512" hashValue="a+ERIJeIOR3E9swLOaTcUoCLG+O9QUFqkj3unu9qqTd5f3QcdJjcj46bELc3g0E3/cBNFd5MxM4c2whs9IS3lA==" saltValue="hinsrNH0Wt3nk0PC71+Vsg==" spinCount="100000" sheet="1" objects="1" scenarios="1" selectLockedCells="1"/>
  <mergeCells count="40">
    <mergeCell ref="D28:D31"/>
    <mergeCell ref="R23:R27"/>
    <mergeCell ref="R28:R31"/>
    <mergeCell ref="D23:D27"/>
    <mergeCell ref="G24:N24"/>
    <mergeCell ref="G25:N25"/>
    <mergeCell ref="G27:N27"/>
    <mergeCell ref="G26:N26"/>
    <mergeCell ref="G29:N29"/>
    <mergeCell ref="E2:N2"/>
    <mergeCell ref="S2:AB2"/>
    <mergeCell ref="E3:N3"/>
    <mergeCell ref="S3:AB3"/>
    <mergeCell ref="I6:M6"/>
    <mergeCell ref="W6:AA6"/>
    <mergeCell ref="I8:J8"/>
    <mergeCell ref="W8:X8"/>
    <mergeCell ref="E13:N13"/>
    <mergeCell ref="S13:AB13"/>
    <mergeCell ref="E15:N15"/>
    <mergeCell ref="S15:AB15"/>
    <mergeCell ref="E17:N17"/>
    <mergeCell ref="S17:AB17"/>
    <mergeCell ref="E19:N19"/>
    <mergeCell ref="E20:N20"/>
    <mergeCell ref="S19:AB19"/>
    <mergeCell ref="S20:AB20"/>
    <mergeCell ref="U24:AB24"/>
    <mergeCell ref="U28:AB28"/>
    <mergeCell ref="U30:AB30"/>
    <mergeCell ref="E21:N21"/>
    <mergeCell ref="S21:AB21"/>
    <mergeCell ref="G23:N23"/>
    <mergeCell ref="U23:AB23"/>
    <mergeCell ref="G28:N28"/>
    <mergeCell ref="G30:N30"/>
    <mergeCell ref="U25:AB25"/>
    <mergeCell ref="U27:AB27"/>
    <mergeCell ref="U26:AB26"/>
    <mergeCell ref="U29:AB29"/>
  </mergeCells>
  <dataValidations count="2">
    <dataValidation type="list" allowBlank="1" showInputMessage="1" showErrorMessage="1" sqref="F23:F30" xr:uid="{52820C8D-7D4A-41C8-9CDA-9205A5660C65}">
      <formula1>$D$17:$D$18</formula1>
    </dataValidation>
    <dataValidation type="list" allowBlank="1" showInputMessage="1" showErrorMessage="1" sqref="T23:T30" xr:uid="{00000000-0002-0000-0700-000000000000}">
      <formula1>$R$17:$R$18</formula1>
    </dataValidation>
  </dataValidations>
  <pageMargins left="0.7" right="0.7" top="0.75" bottom="0.75" header="0.3" footer="0.3"/>
  <pageSetup scale="71" orientation="portrait" r:id="rId1"/>
  <headerFooter>
    <oddFooter>&amp;CTab: &amp;A&amp;RPrint Date: &amp;D</oddFooter>
  </headerFooter>
  <colBreaks count="1" manualBreakCount="1">
    <brk id="17" max="30"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6205BE-F58E-488F-A808-4CCE8E6E5303}">
  <dimension ref="B1:AE37"/>
  <sheetViews>
    <sheetView showGridLines="0" view="pageBreakPreview" zoomScaleNormal="100" zoomScaleSheetLayoutView="100" workbookViewId="0">
      <selection activeCell="F22" sqref="F22"/>
    </sheetView>
  </sheetViews>
  <sheetFormatPr defaultColWidth="9.109375" defaultRowHeight="15.6" x14ac:dyDescent="0.3"/>
  <cols>
    <col min="1" max="1" width="3.5546875" style="1" customWidth="1"/>
    <col min="2" max="2" width="3.88671875" style="1" hidden="1" customWidth="1"/>
    <col min="3" max="3" width="9.109375" style="1" hidden="1" customWidth="1"/>
    <col min="4" max="4" width="9.109375" style="31" hidden="1" customWidth="1"/>
    <col min="5" max="6" width="4.88671875" style="1" customWidth="1"/>
    <col min="7" max="14" width="12.44140625" style="1" customWidth="1"/>
    <col min="15" max="15" width="3.5546875" style="1" customWidth="1"/>
    <col min="16" max="16" width="9.109375" style="30" hidden="1" customWidth="1"/>
    <col min="17" max="17" width="6" style="1" hidden="1" customWidth="1"/>
    <col min="18" max="18" width="9.109375" style="31" hidden="1" customWidth="1"/>
    <col min="19" max="20" width="4.88671875" style="1" customWidth="1"/>
    <col min="21" max="28" width="12.44140625" style="1" customWidth="1"/>
    <col min="29" max="29" width="9.109375" style="30" hidden="1" customWidth="1"/>
    <col min="30" max="16384" width="9.109375" style="1"/>
  </cols>
  <sheetData>
    <row r="1" spans="4:30" x14ac:dyDescent="0.3">
      <c r="Q1" s="50"/>
    </row>
    <row r="2" spans="4:30" x14ac:dyDescent="0.3">
      <c r="E2" s="410" t="s">
        <v>275</v>
      </c>
      <c r="F2" s="410"/>
      <c r="G2" s="410"/>
      <c r="H2" s="410"/>
      <c r="I2" s="410"/>
      <c r="J2" s="410"/>
      <c r="K2" s="410"/>
      <c r="L2" s="410"/>
      <c r="M2" s="410"/>
      <c r="N2" s="410"/>
      <c r="O2" s="230"/>
      <c r="Q2" s="50"/>
      <c r="S2" s="410" t="s">
        <v>275</v>
      </c>
      <c r="T2" s="410"/>
      <c r="U2" s="410"/>
      <c r="V2" s="410"/>
      <c r="W2" s="410"/>
      <c r="X2" s="410"/>
      <c r="Y2" s="410"/>
      <c r="Z2" s="410"/>
      <c r="AA2" s="410"/>
      <c r="AB2" s="410"/>
    </row>
    <row r="3" spans="4:30" ht="16.2" thickBot="1" x14ac:dyDescent="0.35">
      <c r="E3" s="411" t="s">
        <v>53</v>
      </c>
      <c r="F3" s="411"/>
      <c r="G3" s="411"/>
      <c r="H3" s="411"/>
      <c r="I3" s="411"/>
      <c r="J3" s="411"/>
      <c r="K3" s="411"/>
      <c r="L3" s="411"/>
      <c r="M3" s="411"/>
      <c r="N3" s="411"/>
      <c r="O3" s="2"/>
      <c r="Q3" s="50"/>
      <c r="S3" s="411" t="s">
        <v>54</v>
      </c>
      <c r="T3" s="411"/>
      <c r="U3" s="411"/>
      <c r="V3" s="411"/>
      <c r="W3" s="411"/>
      <c r="X3" s="411"/>
      <c r="Y3" s="411"/>
      <c r="Z3" s="411"/>
      <c r="AA3" s="411"/>
      <c r="AB3" s="411"/>
    </row>
    <row r="4" spans="4:30" x14ac:dyDescent="0.3">
      <c r="E4" s="2"/>
      <c r="F4" s="2"/>
      <c r="G4" s="2"/>
      <c r="H4" s="2"/>
      <c r="I4" s="2"/>
      <c r="J4" s="2"/>
      <c r="K4" s="2"/>
      <c r="L4" s="2"/>
      <c r="M4" s="2"/>
      <c r="N4" s="2"/>
      <c r="O4" s="2"/>
      <c r="Q4" s="50"/>
      <c r="S4" s="2"/>
      <c r="T4" s="2"/>
      <c r="U4" s="2"/>
      <c r="V4" s="2"/>
      <c r="W4" s="2"/>
      <c r="X4" s="2"/>
      <c r="Y4" s="2"/>
      <c r="Z4" s="2"/>
      <c r="AA4" s="2"/>
      <c r="AB4" s="2"/>
    </row>
    <row r="5" spans="4:30" x14ac:dyDescent="0.3">
      <c r="F5" s="2"/>
      <c r="H5" s="56" t="s">
        <v>0</v>
      </c>
      <c r="I5" s="21" t="str">
        <f>IF(Summary!$E$5="","",Summary!$E$5)</f>
        <v/>
      </c>
      <c r="J5" s="86"/>
      <c r="K5" s="86"/>
      <c r="L5" s="86"/>
      <c r="M5" s="86"/>
      <c r="N5" s="2"/>
      <c r="O5" s="2"/>
      <c r="P5" s="185"/>
      <c r="Q5" s="52"/>
      <c r="T5" s="2"/>
      <c r="V5" s="56" t="s">
        <v>0</v>
      </c>
      <c r="W5" s="21" t="str">
        <f>IF(Summary!$S$5="","",Summary!$S$5)</f>
        <v/>
      </c>
      <c r="X5" s="86"/>
      <c r="Y5" s="86"/>
      <c r="Z5" s="86"/>
      <c r="AA5" s="86"/>
      <c r="AB5" s="2"/>
      <c r="AC5" s="185"/>
      <c r="AD5" s="2"/>
    </row>
    <row r="6" spans="4:30" x14ac:dyDescent="0.3">
      <c r="H6" s="56" t="s">
        <v>1</v>
      </c>
      <c r="I6" s="515" t="str">
        <f>IF(Summary!E6="","",Summary!E6)</f>
        <v/>
      </c>
      <c r="J6" s="516"/>
      <c r="K6" s="516"/>
      <c r="L6" s="516"/>
      <c r="M6" s="517"/>
      <c r="Q6" s="52"/>
      <c r="V6" s="56" t="s">
        <v>1</v>
      </c>
      <c r="W6" s="515" t="str">
        <f>IF(Summary!$S6="","",Summary!$S6)</f>
        <v/>
      </c>
      <c r="X6" s="516"/>
      <c r="Y6" s="516"/>
      <c r="Z6" s="516"/>
      <c r="AA6" s="517"/>
      <c r="AD6" s="2"/>
    </row>
    <row r="7" spans="4:30" x14ac:dyDescent="0.3">
      <c r="H7" s="56"/>
      <c r="I7" s="182"/>
      <c r="J7" s="182"/>
      <c r="K7" s="86"/>
      <c r="L7" s="86"/>
      <c r="M7" s="86"/>
      <c r="Q7" s="52"/>
      <c r="V7" s="56"/>
      <c r="W7" s="182"/>
      <c r="X7" s="182"/>
      <c r="Y7" s="86"/>
      <c r="Z7" s="86"/>
      <c r="AA7" s="86"/>
      <c r="AD7" s="2"/>
    </row>
    <row r="8" spans="4:30" x14ac:dyDescent="0.3">
      <c r="H8" s="56" t="s">
        <v>48</v>
      </c>
      <c r="I8" s="518" t="str">
        <f>IF(Summary!E8="","",Summary!E8)</f>
        <v/>
      </c>
      <c r="J8" s="518"/>
      <c r="K8" s="86"/>
      <c r="L8" s="86"/>
      <c r="M8" s="86"/>
      <c r="Q8" s="50"/>
      <c r="V8" s="56" t="s">
        <v>48</v>
      </c>
      <c r="W8" s="526" t="str">
        <f>IF(Summary!$S8="","",Summary!$S8)</f>
        <v/>
      </c>
      <c r="X8" s="527"/>
      <c r="Y8" s="86"/>
      <c r="Z8" s="86"/>
      <c r="AA8" s="86"/>
    </row>
    <row r="9" spans="4:30" x14ac:dyDescent="0.3">
      <c r="H9" s="56"/>
      <c r="I9" s="24"/>
      <c r="J9" s="25"/>
      <c r="K9" s="86"/>
      <c r="L9" s="86"/>
      <c r="M9" s="86"/>
      <c r="Q9" s="50"/>
      <c r="V9" s="56"/>
      <c r="W9" s="24"/>
      <c r="X9" s="25"/>
      <c r="Y9" s="86"/>
      <c r="Z9" s="86"/>
      <c r="AA9" s="86"/>
    </row>
    <row r="10" spans="4:30" x14ac:dyDescent="0.3">
      <c r="H10" s="56" t="s">
        <v>45</v>
      </c>
      <c r="I10" s="23">
        <f>IF(E19="",SUM(E22:E26),"")</f>
        <v>0</v>
      </c>
      <c r="J10" s="84"/>
      <c r="K10" s="86"/>
      <c r="L10" s="86"/>
      <c r="M10" s="86"/>
      <c r="Q10" s="50"/>
      <c r="V10" s="56" t="s">
        <v>46</v>
      </c>
      <c r="W10" s="23">
        <f>IF(S19="",SUM(S22:S26),"")</f>
        <v>0</v>
      </c>
      <c r="X10" s="84"/>
      <c r="Y10" s="86"/>
      <c r="Z10" s="86"/>
      <c r="AA10" s="86"/>
    </row>
    <row r="11" spans="4:30" ht="16.2" thickBot="1" x14ac:dyDescent="0.35">
      <c r="E11" s="3"/>
      <c r="F11" s="3"/>
      <c r="G11" s="3"/>
      <c r="H11" s="3"/>
      <c r="I11" s="3"/>
      <c r="J11" s="3"/>
      <c r="K11" s="3"/>
      <c r="L11" s="3"/>
      <c r="M11" s="3"/>
      <c r="N11" s="3"/>
      <c r="Q11" s="50"/>
      <c r="S11" s="3"/>
      <c r="T11" s="3"/>
      <c r="U11" s="3"/>
      <c r="V11" s="3"/>
      <c r="W11" s="3"/>
      <c r="X11" s="3"/>
      <c r="Y11" s="3"/>
      <c r="Z11" s="3"/>
      <c r="AA11" s="3"/>
      <c r="AB11" s="3"/>
    </row>
    <row r="12" spans="4:30" x14ac:dyDescent="0.3">
      <c r="Q12" s="50"/>
    </row>
    <row r="13" spans="4:30" ht="48.75" customHeight="1" x14ac:dyDescent="0.3">
      <c r="D13" s="30"/>
      <c r="E13" s="434" t="s">
        <v>486</v>
      </c>
      <c r="F13" s="434"/>
      <c r="G13" s="434"/>
      <c r="H13" s="434"/>
      <c r="I13" s="434"/>
      <c r="J13" s="434"/>
      <c r="K13" s="434"/>
      <c r="L13" s="434"/>
      <c r="M13" s="434"/>
      <c r="N13" s="434"/>
      <c r="O13" s="183"/>
      <c r="Q13" s="50"/>
      <c r="R13" s="30"/>
      <c r="S13" s="434" t="s">
        <v>486</v>
      </c>
      <c r="T13" s="434"/>
      <c r="U13" s="434"/>
      <c r="V13" s="434"/>
      <c r="W13" s="434"/>
      <c r="X13" s="434"/>
      <c r="Y13" s="434"/>
      <c r="Z13" s="434"/>
      <c r="AA13" s="434"/>
      <c r="AB13" s="434"/>
    </row>
    <row r="14" spans="4:30" x14ac:dyDescent="0.3">
      <c r="D14" s="1"/>
      <c r="E14" s="183"/>
      <c r="F14" s="183"/>
      <c r="G14" s="183"/>
      <c r="H14" s="183"/>
      <c r="I14" s="183"/>
      <c r="J14" s="183"/>
      <c r="K14" s="183"/>
      <c r="L14" s="183"/>
      <c r="M14" s="183"/>
      <c r="N14" s="183"/>
      <c r="O14" s="183"/>
      <c r="P14" s="1"/>
      <c r="R14" s="1"/>
      <c r="S14" s="183"/>
      <c r="T14" s="183"/>
      <c r="U14" s="183"/>
      <c r="V14" s="183"/>
      <c r="W14" s="183"/>
      <c r="X14" s="183"/>
      <c r="Y14" s="183"/>
      <c r="Z14" s="183"/>
      <c r="AA14" s="183"/>
      <c r="AB14" s="183"/>
      <c r="AC14" s="1"/>
    </row>
    <row r="15" spans="4:30" ht="79.5" customHeight="1" x14ac:dyDescent="0.3">
      <c r="D15" s="1"/>
      <c r="E15" s="434" t="s">
        <v>613</v>
      </c>
      <c r="F15" s="434"/>
      <c r="G15" s="434"/>
      <c r="H15" s="434"/>
      <c r="I15" s="434"/>
      <c r="J15" s="434"/>
      <c r="K15" s="434"/>
      <c r="L15" s="434"/>
      <c r="M15" s="434"/>
      <c r="N15" s="434"/>
      <c r="O15" s="183"/>
      <c r="P15" s="1"/>
      <c r="R15" s="1"/>
      <c r="S15" s="434" t="s">
        <v>613</v>
      </c>
      <c r="T15" s="434"/>
      <c r="U15" s="434"/>
      <c r="V15" s="434"/>
      <c r="W15" s="434"/>
      <c r="X15" s="434"/>
      <c r="Y15" s="434"/>
      <c r="Z15" s="434"/>
      <c r="AA15" s="434"/>
      <c r="AB15" s="434"/>
      <c r="AC15" s="1"/>
    </row>
    <row r="16" spans="4:30" x14ac:dyDescent="0.3">
      <c r="D16" s="1"/>
      <c r="E16" s="335"/>
      <c r="F16" s="335"/>
      <c r="G16" s="335"/>
      <c r="H16" s="335"/>
      <c r="I16" s="335"/>
      <c r="J16" s="335"/>
      <c r="K16" s="335"/>
      <c r="L16" s="335"/>
      <c r="M16" s="335"/>
      <c r="N16" s="335"/>
      <c r="O16" s="183"/>
      <c r="P16" s="1"/>
      <c r="R16" s="1"/>
      <c r="S16" s="183"/>
      <c r="T16" s="183"/>
      <c r="U16" s="183"/>
      <c r="V16" s="183"/>
      <c r="W16" s="183"/>
      <c r="X16" s="183"/>
      <c r="Y16" s="183"/>
      <c r="Z16" s="183"/>
      <c r="AA16" s="183"/>
      <c r="AB16" s="183"/>
      <c r="AC16" s="1"/>
    </row>
    <row r="17" spans="3:31" x14ac:dyDescent="0.3">
      <c r="D17" s="30"/>
      <c r="E17" s="434" t="s">
        <v>426</v>
      </c>
      <c r="F17" s="434"/>
      <c r="G17" s="434"/>
      <c r="H17" s="434"/>
      <c r="I17" s="434"/>
      <c r="J17" s="434"/>
      <c r="K17" s="434"/>
      <c r="L17" s="434"/>
      <c r="M17" s="434"/>
      <c r="N17" s="434"/>
      <c r="O17" s="183"/>
      <c r="Q17" s="50"/>
      <c r="R17" s="30"/>
      <c r="S17" s="434" t="s">
        <v>426</v>
      </c>
      <c r="T17" s="434"/>
      <c r="U17" s="434"/>
      <c r="V17" s="434"/>
      <c r="W17" s="434"/>
      <c r="X17" s="434"/>
      <c r="Y17" s="434"/>
      <c r="Z17" s="434"/>
      <c r="AA17" s="434"/>
      <c r="AB17" s="434"/>
      <c r="AC17" s="270"/>
      <c r="AD17" s="270"/>
      <c r="AE17" s="270"/>
    </row>
    <row r="18" spans="3:31" x14ac:dyDescent="0.3">
      <c r="D18" s="30"/>
      <c r="E18" s="335"/>
      <c r="F18" s="335"/>
      <c r="G18" s="335"/>
      <c r="H18" s="335"/>
      <c r="I18" s="335"/>
      <c r="J18" s="335"/>
      <c r="K18" s="335"/>
      <c r="L18" s="335"/>
      <c r="M18" s="335"/>
      <c r="N18" s="335"/>
      <c r="O18" s="183"/>
      <c r="Q18" s="50"/>
      <c r="R18" s="30"/>
      <c r="S18" s="335"/>
      <c r="T18" s="335"/>
      <c r="U18" s="335"/>
      <c r="V18" s="335"/>
      <c r="W18" s="335"/>
      <c r="X18" s="335"/>
      <c r="Y18" s="335"/>
      <c r="Z18" s="335"/>
      <c r="AA18" s="335"/>
      <c r="AB18" s="335"/>
      <c r="AC18" s="270"/>
      <c r="AD18" s="270"/>
      <c r="AE18" s="270"/>
    </row>
    <row r="19" spans="3:31" x14ac:dyDescent="0.3">
      <c r="D19" s="30" t="s">
        <v>3</v>
      </c>
      <c r="E19" s="548" t="str">
        <f>IF(SUM(C22:C27)&gt;1,"ERROR: SELECT ONLY ONE NET ZERO STANDARD","")</f>
        <v/>
      </c>
      <c r="F19" s="548"/>
      <c r="G19" s="548"/>
      <c r="H19" s="548"/>
      <c r="I19" s="548"/>
      <c r="J19" s="548"/>
      <c r="K19" s="548"/>
      <c r="L19" s="548"/>
      <c r="M19" s="548"/>
      <c r="N19" s="548"/>
      <c r="Q19" s="50"/>
      <c r="R19" s="30" t="s">
        <v>3</v>
      </c>
      <c r="S19" s="548" t="str">
        <f>IF(SUM(Q22:Q27)&gt;1,"ERROR: SELECT ONLY ONE NET ZERO STANDARD","")</f>
        <v/>
      </c>
      <c r="T19" s="548"/>
      <c r="U19" s="548"/>
      <c r="V19" s="548"/>
      <c r="W19" s="548"/>
      <c r="X19" s="548"/>
      <c r="Y19" s="548"/>
      <c r="Z19" s="548"/>
      <c r="AA19" s="548"/>
      <c r="AB19" s="548"/>
    </row>
    <row r="20" spans="3:31" ht="16.2" thickBot="1" x14ac:dyDescent="0.35">
      <c r="E20" s="407" t="s">
        <v>485</v>
      </c>
      <c r="F20" s="407"/>
      <c r="G20" s="407"/>
      <c r="H20" s="407"/>
      <c r="I20" s="407"/>
      <c r="J20" s="407"/>
      <c r="K20" s="407"/>
      <c r="L20" s="407"/>
      <c r="M20" s="407"/>
      <c r="N20" s="407"/>
      <c r="O20" s="230"/>
      <c r="Q20" s="50"/>
      <c r="S20" s="407" t="s">
        <v>485</v>
      </c>
      <c r="T20" s="407"/>
      <c r="U20" s="407"/>
      <c r="V20" s="407"/>
      <c r="W20" s="407"/>
      <c r="X20" s="407"/>
      <c r="Y20" s="407"/>
      <c r="Z20" s="407"/>
      <c r="AA20" s="407"/>
      <c r="AB20" s="407"/>
    </row>
    <row r="21" spans="3:31" x14ac:dyDescent="0.3">
      <c r="D21" s="74"/>
      <c r="G21" s="7"/>
      <c r="H21" s="7"/>
      <c r="I21" s="7"/>
      <c r="J21" s="7"/>
      <c r="K21" s="7"/>
      <c r="L21" s="7"/>
      <c r="M21" s="7"/>
      <c r="N21" s="7"/>
      <c r="O21" s="7"/>
      <c r="Q21" s="50"/>
      <c r="R21" s="74"/>
      <c r="U21" s="7"/>
      <c r="V21" s="7"/>
      <c r="W21" s="7"/>
      <c r="X21" s="7"/>
      <c r="Y21" s="7"/>
      <c r="Z21" s="7"/>
      <c r="AA21" s="7"/>
      <c r="AB21" s="7"/>
    </row>
    <row r="22" spans="3:31" ht="33.75" customHeight="1" x14ac:dyDescent="0.3">
      <c r="C22" s="1">
        <f>IF(F22="X",1,0)</f>
        <v>0</v>
      </c>
      <c r="D22" s="549"/>
      <c r="E22" s="95" t="str">
        <f>IF(F22="X",3,"")</f>
        <v/>
      </c>
      <c r="F22" s="27"/>
      <c r="G22" s="444" t="s">
        <v>276</v>
      </c>
      <c r="H22" s="444"/>
      <c r="I22" s="444"/>
      <c r="J22" s="444"/>
      <c r="K22" s="444"/>
      <c r="L22" s="444"/>
      <c r="M22" s="444"/>
      <c r="N22" s="444"/>
      <c r="O22" s="80"/>
      <c r="P22" s="1"/>
      <c r="Q22" s="1">
        <f>IF(T22="X",1,0)</f>
        <v>0</v>
      </c>
      <c r="R22" s="549"/>
      <c r="S22" s="95" t="str">
        <f>IF(T22="X",3,"")</f>
        <v/>
      </c>
      <c r="T22" s="77"/>
      <c r="U22" s="444" t="s">
        <v>276</v>
      </c>
      <c r="V22" s="444"/>
      <c r="W22" s="444"/>
      <c r="X22" s="444"/>
      <c r="Y22" s="444"/>
      <c r="Z22" s="444"/>
      <c r="AA22" s="444"/>
      <c r="AB22" s="444"/>
      <c r="AC22" s="30">
        <f>IF(T22="X",1,0)</f>
        <v>0</v>
      </c>
    </row>
    <row r="23" spans="3:31" ht="33.75" customHeight="1" x14ac:dyDescent="0.3">
      <c r="C23" s="1">
        <f>IF(F23="X",1,0)</f>
        <v>0</v>
      </c>
      <c r="D23" s="549"/>
      <c r="E23" s="95" t="str">
        <f>IF(F23="X",3,"")</f>
        <v/>
      </c>
      <c r="F23" s="27"/>
      <c r="G23" s="509" t="s">
        <v>277</v>
      </c>
      <c r="H23" s="510"/>
      <c r="I23" s="510"/>
      <c r="J23" s="510"/>
      <c r="K23" s="510"/>
      <c r="L23" s="510"/>
      <c r="M23" s="510"/>
      <c r="N23" s="511"/>
      <c r="O23" s="80"/>
      <c r="P23" s="1"/>
      <c r="Q23" s="1">
        <f>IF(T23="X",1,0)</f>
        <v>0</v>
      </c>
      <c r="R23" s="549"/>
      <c r="S23" s="95" t="str">
        <f t="shared" ref="S23:S26" si="0">IF(T23="X",3,"")</f>
        <v/>
      </c>
      <c r="T23" s="77"/>
      <c r="U23" s="509" t="s">
        <v>277</v>
      </c>
      <c r="V23" s="510"/>
      <c r="W23" s="510"/>
      <c r="X23" s="510"/>
      <c r="Y23" s="510"/>
      <c r="Z23" s="510"/>
      <c r="AA23" s="510"/>
      <c r="AB23" s="511"/>
      <c r="AC23" s="30">
        <f>IF(T23="X",1,0)</f>
        <v>0</v>
      </c>
    </row>
    <row r="24" spans="3:31" ht="36.75" customHeight="1" x14ac:dyDescent="0.3">
      <c r="C24" s="1">
        <f t="shared" ref="C24:C26" si="1">IF(F24="X",1,0)</f>
        <v>0</v>
      </c>
      <c r="D24" s="549"/>
      <c r="E24" s="281" t="str">
        <f>IF(F24="X",3,"")</f>
        <v/>
      </c>
      <c r="F24" s="27"/>
      <c r="G24" s="509" t="s">
        <v>506</v>
      </c>
      <c r="H24" s="510"/>
      <c r="I24" s="510"/>
      <c r="J24" s="510"/>
      <c r="K24" s="510"/>
      <c r="L24" s="510"/>
      <c r="M24" s="510"/>
      <c r="N24" s="511"/>
      <c r="O24" s="80"/>
      <c r="P24" s="1"/>
      <c r="Q24" s="1">
        <f>IF(T24="X",1,0)</f>
        <v>0</v>
      </c>
      <c r="R24" s="549"/>
      <c r="S24" s="95" t="str">
        <f t="shared" si="0"/>
        <v/>
      </c>
      <c r="T24" s="77"/>
      <c r="U24" s="509" t="s">
        <v>506</v>
      </c>
      <c r="V24" s="510"/>
      <c r="W24" s="510"/>
      <c r="X24" s="510"/>
      <c r="Y24" s="510"/>
      <c r="Z24" s="510"/>
      <c r="AA24" s="510"/>
      <c r="AB24" s="511"/>
      <c r="AC24" s="30">
        <f>IF(T24="X",1,0)</f>
        <v>0</v>
      </c>
    </row>
    <row r="25" spans="3:31" ht="36.75" customHeight="1" x14ac:dyDescent="0.3">
      <c r="C25" s="1">
        <f t="shared" si="1"/>
        <v>0</v>
      </c>
      <c r="D25" s="347"/>
      <c r="E25" s="281" t="str">
        <f>IF(F25="X",3,"")</f>
        <v/>
      </c>
      <c r="F25" s="27"/>
      <c r="G25" s="447" t="s">
        <v>507</v>
      </c>
      <c r="H25" s="448"/>
      <c r="I25" s="448"/>
      <c r="J25" s="448"/>
      <c r="K25" s="448"/>
      <c r="L25" s="448"/>
      <c r="M25" s="448"/>
      <c r="N25" s="449"/>
      <c r="O25" s="80"/>
      <c r="P25" s="1"/>
      <c r="Q25" s="1">
        <f t="shared" ref="Q25:Q26" si="2">IF(T25="X",1,0)</f>
        <v>0</v>
      </c>
      <c r="R25" s="347"/>
      <c r="S25" s="95" t="str">
        <f t="shared" si="0"/>
        <v/>
      </c>
      <c r="T25" s="77"/>
      <c r="U25" s="447" t="s">
        <v>507</v>
      </c>
      <c r="V25" s="448"/>
      <c r="W25" s="448"/>
      <c r="X25" s="448"/>
      <c r="Y25" s="448"/>
      <c r="Z25" s="448"/>
      <c r="AA25" s="448"/>
      <c r="AB25" s="449"/>
    </row>
    <row r="26" spans="3:31" ht="33.75" customHeight="1" x14ac:dyDescent="0.3">
      <c r="C26" s="1">
        <f t="shared" si="1"/>
        <v>0</v>
      </c>
      <c r="D26" s="549"/>
      <c r="E26" s="281" t="str">
        <f>IF(F26="X",3,"")</f>
        <v/>
      </c>
      <c r="F26" s="27"/>
      <c r="G26" s="509" t="s">
        <v>508</v>
      </c>
      <c r="H26" s="510"/>
      <c r="I26" s="510"/>
      <c r="J26" s="510"/>
      <c r="K26" s="510"/>
      <c r="L26" s="510"/>
      <c r="M26" s="510"/>
      <c r="N26" s="511"/>
      <c r="O26" s="80"/>
      <c r="P26" s="1"/>
      <c r="Q26" s="1">
        <f t="shared" si="2"/>
        <v>0</v>
      </c>
      <c r="R26" s="549"/>
      <c r="S26" s="95" t="str">
        <f t="shared" si="0"/>
        <v/>
      </c>
      <c r="T26" s="77"/>
      <c r="U26" s="509" t="s">
        <v>508</v>
      </c>
      <c r="V26" s="510"/>
      <c r="W26" s="510"/>
      <c r="X26" s="510"/>
      <c r="Y26" s="510"/>
      <c r="Z26" s="510"/>
      <c r="AA26" s="510"/>
      <c r="AB26" s="511"/>
      <c r="AC26" s="30">
        <f>IF(T26="X",1,0)</f>
        <v>0</v>
      </c>
    </row>
    <row r="27" spans="3:31" ht="17.100000000000001" customHeight="1" x14ac:dyDescent="0.3">
      <c r="D27" s="549"/>
      <c r="E27" t="str">
        <f t="shared" ref="E27" si="3">IF(F27="X",B27,"")</f>
        <v/>
      </c>
      <c r="F27"/>
      <c r="G27"/>
      <c r="H27"/>
      <c r="I27"/>
      <c r="J27"/>
      <c r="K27"/>
      <c r="L27"/>
      <c r="M27"/>
      <c r="N27"/>
      <c r="O27" s="80"/>
      <c r="P27" s="1"/>
      <c r="R27" s="550"/>
      <c r="S27" s="372" t="str">
        <f t="shared" ref="S27" si="4">IF(T27="X",P27,"")</f>
        <v/>
      </c>
      <c r="T27"/>
      <c r="U27"/>
      <c r="V27"/>
      <c r="W27"/>
      <c r="X27"/>
      <c r="Y27"/>
      <c r="Z27"/>
      <c r="AA27"/>
      <c r="AB27"/>
      <c r="AC27" s="30">
        <f>IF(T27="X",1,0)</f>
        <v>0</v>
      </c>
    </row>
    <row r="28" spans="3:31" s="8" customFormat="1" ht="15" customHeight="1" x14ac:dyDescent="0.3">
      <c r="D28" s="31"/>
      <c r="P28" s="31"/>
      <c r="R28" s="31"/>
      <c r="AC28" s="31"/>
    </row>
    <row r="30" spans="3:31" ht="15" customHeight="1" x14ac:dyDescent="0.3">
      <c r="C30" s="9" t="s">
        <v>44</v>
      </c>
      <c r="D30" s="31">
        <f>SUM(D22:D26)</f>
        <v>0</v>
      </c>
      <c r="E30" s="9"/>
      <c r="F30" s="9"/>
      <c r="G30" s="7"/>
      <c r="Q30" s="9" t="s">
        <v>44</v>
      </c>
      <c r="R30" s="31" t="e">
        <f>SUM(#REF!+R22+R26)</f>
        <v>#REF!</v>
      </c>
      <c r="S30" s="9"/>
      <c r="T30" s="9"/>
      <c r="U30" s="7"/>
    </row>
    <row r="37" spans="22:22" x14ac:dyDescent="0.3">
      <c r="V37" s="2"/>
    </row>
  </sheetData>
  <sheetProtection algorithmName="SHA-512" hashValue="UsjOGpds9pzFzXBHK59vyh0DV/647Raq+cluOk3Sf5NNDZ6nih8HpkM6fmqlQ7hqSWQJwEDaXEfMjnvMkGaIqg==" saltValue="7+eZmgIYH/0ooeGK0JrVTA==" spinCount="100000" sheet="1" objects="1" scenarios="1" selectLockedCells="1"/>
  <mergeCells count="32">
    <mergeCell ref="E15:N15"/>
    <mergeCell ref="S15:AB15"/>
    <mergeCell ref="D26:D27"/>
    <mergeCell ref="G26:N26"/>
    <mergeCell ref="R26:R27"/>
    <mergeCell ref="U26:AB26"/>
    <mergeCell ref="E20:N20"/>
    <mergeCell ref="S20:AB20"/>
    <mergeCell ref="D22:D24"/>
    <mergeCell ref="G22:N22"/>
    <mergeCell ref="R22:R24"/>
    <mergeCell ref="U22:AB22"/>
    <mergeCell ref="G23:N23"/>
    <mergeCell ref="U23:AB23"/>
    <mergeCell ref="G24:N24"/>
    <mergeCell ref="U24:AB24"/>
    <mergeCell ref="E19:N19"/>
    <mergeCell ref="S19:AB19"/>
    <mergeCell ref="G25:N25"/>
    <mergeCell ref="U25:AB25"/>
    <mergeCell ref="E2:N2"/>
    <mergeCell ref="S2:AB2"/>
    <mergeCell ref="E3:N3"/>
    <mergeCell ref="S3:AB3"/>
    <mergeCell ref="I6:M6"/>
    <mergeCell ref="W6:AA6"/>
    <mergeCell ref="I8:J8"/>
    <mergeCell ref="W8:X8"/>
    <mergeCell ref="E13:N13"/>
    <mergeCell ref="S13:AB13"/>
    <mergeCell ref="E17:N17"/>
    <mergeCell ref="S17:AB17"/>
  </mergeCells>
  <dataValidations count="1">
    <dataValidation type="list" allowBlank="1" showInputMessage="1" showErrorMessage="1" sqref="F22:F26 T22:T26" xr:uid="{328D4C37-F7F6-41B5-8F70-FA8CF4209D8E}">
      <formula1>$D$18:$D$19</formula1>
    </dataValidation>
  </dataValidations>
  <pageMargins left="0.7" right="0.7" top="0.75" bottom="0.75" header="0.3" footer="0.3"/>
  <pageSetup scale="71" orientation="portrait" r:id="rId1"/>
  <headerFooter>
    <oddFooter>&amp;CTab: &amp;A&amp;RPrint Date: &amp;D</oddFooter>
  </headerFooter>
  <colBreaks count="1" manualBreakCount="1">
    <brk id="17" max="30"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B1:AB41"/>
  <sheetViews>
    <sheetView showGridLines="0" view="pageBreakPreview" zoomScaleNormal="100" zoomScaleSheetLayoutView="100" workbookViewId="0">
      <selection activeCell="G18" sqref="G18"/>
    </sheetView>
  </sheetViews>
  <sheetFormatPr defaultColWidth="9.109375" defaultRowHeight="15.6" x14ac:dyDescent="0.3"/>
  <cols>
    <col min="1" max="1" width="3.5546875" style="1" customWidth="1"/>
    <col min="2" max="2" width="9.109375" style="30" hidden="1" customWidth="1"/>
    <col min="3" max="3" width="9.109375" style="185" hidden="1" customWidth="1"/>
    <col min="4" max="4" width="9.109375" style="30" hidden="1" customWidth="1"/>
    <col min="5" max="6" width="4.88671875" style="1" customWidth="1"/>
    <col min="7" max="14" width="12.44140625" style="1" customWidth="1"/>
    <col min="15" max="15" width="3.5546875" style="1" customWidth="1"/>
    <col min="16" max="16" width="9.109375" style="30" hidden="1" customWidth="1"/>
    <col min="17" max="17" width="9.109375" style="185" hidden="1" customWidth="1"/>
    <col min="18" max="18" width="9.109375" style="30" hidden="1" customWidth="1"/>
    <col min="19" max="20" width="4.88671875" style="1" customWidth="1"/>
    <col min="21" max="28" width="12.44140625" style="1" customWidth="1"/>
    <col min="29" max="16384" width="9.109375" style="1"/>
  </cols>
  <sheetData>
    <row r="1" spans="4:28" x14ac:dyDescent="0.3">
      <c r="O1" s="50"/>
    </row>
    <row r="2" spans="4:28" x14ac:dyDescent="0.3">
      <c r="E2" s="410" t="s">
        <v>59</v>
      </c>
      <c r="F2" s="410"/>
      <c r="G2" s="410"/>
      <c r="H2" s="410"/>
      <c r="I2" s="410"/>
      <c r="J2" s="410"/>
      <c r="K2" s="410"/>
      <c r="L2" s="410"/>
      <c r="M2" s="410"/>
      <c r="N2" s="410"/>
      <c r="O2" s="50"/>
      <c r="S2" s="410" t="s">
        <v>59</v>
      </c>
      <c r="T2" s="410"/>
      <c r="U2" s="410"/>
      <c r="V2" s="410"/>
      <c r="W2" s="410"/>
      <c r="X2" s="410"/>
      <c r="Y2" s="410"/>
      <c r="Z2" s="410"/>
      <c r="AA2" s="410"/>
      <c r="AB2" s="410"/>
    </row>
    <row r="3" spans="4:28" ht="16.2" thickBot="1" x14ac:dyDescent="0.35">
      <c r="E3" s="411" t="s">
        <v>53</v>
      </c>
      <c r="F3" s="411"/>
      <c r="G3" s="411"/>
      <c r="H3" s="411"/>
      <c r="I3" s="411"/>
      <c r="J3" s="411"/>
      <c r="K3" s="411"/>
      <c r="L3" s="411"/>
      <c r="M3" s="411"/>
      <c r="N3" s="411"/>
      <c r="O3" s="50"/>
      <c r="S3" s="411" t="s">
        <v>54</v>
      </c>
      <c r="T3" s="411"/>
      <c r="U3" s="411"/>
      <c r="V3" s="411"/>
      <c r="W3" s="411"/>
      <c r="X3" s="411"/>
      <c r="Y3" s="411"/>
      <c r="Z3" s="411"/>
      <c r="AA3" s="411"/>
      <c r="AB3" s="411"/>
    </row>
    <row r="4" spans="4:28" x14ac:dyDescent="0.3">
      <c r="E4" s="2"/>
      <c r="F4" s="2"/>
      <c r="G4" s="2"/>
      <c r="H4" s="2"/>
      <c r="I4" s="2"/>
      <c r="J4" s="2"/>
      <c r="K4" s="2"/>
      <c r="L4" s="2"/>
      <c r="M4" s="2"/>
      <c r="N4" s="2"/>
      <c r="O4" s="50"/>
      <c r="S4" s="2"/>
      <c r="T4" s="2"/>
      <c r="U4" s="2"/>
      <c r="V4" s="2"/>
      <c r="W4" s="2"/>
      <c r="X4" s="2"/>
      <c r="Y4" s="2"/>
      <c r="Z4" s="2"/>
      <c r="AA4" s="2"/>
      <c r="AB4" s="2"/>
    </row>
    <row r="5" spans="4:28" x14ac:dyDescent="0.3">
      <c r="E5" s="2"/>
      <c r="F5" s="2"/>
      <c r="H5" s="56" t="s">
        <v>0</v>
      </c>
      <c r="I5" s="21" t="str">
        <f>IF(Summary!$E$5="","",Summary!$E$5)</f>
        <v/>
      </c>
      <c r="J5" s="86"/>
      <c r="K5" s="86"/>
      <c r="L5" s="86"/>
      <c r="M5" s="86"/>
      <c r="N5" s="2"/>
      <c r="O5" s="50"/>
      <c r="S5" s="2"/>
      <c r="T5" s="2"/>
      <c r="V5" s="56" t="s">
        <v>0</v>
      </c>
      <c r="W5" s="21" t="str">
        <f>IF(Summary!$S$5="","",Summary!$S$5)</f>
        <v/>
      </c>
      <c r="X5" s="86"/>
      <c r="Y5" s="86"/>
      <c r="Z5" s="86"/>
      <c r="AA5" s="86"/>
      <c r="AB5" s="2"/>
    </row>
    <row r="6" spans="4:28" x14ac:dyDescent="0.3">
      <c r="H6" s="56" t="s">
        <v>1</v>
      </c>
      <c r="I6" s="515" t="str">
        <f>IF(Summary!E6="","",Summary!E6)</f>
        <v/>
      </c>
      <c r="J6" s="516"/>
      <c r="K6" s="516"/>
      <c r="L6" s="516"/>
      <c r="M6" s="517"/>
      <c r="O6" s="50"/>
      <c r="V6" s="56" t="s">
        <v>1</v>
      </c>
      <c r="W6" s="515" t="str">
        <f>IF(Summary!$S6="","",Summary!$S6)</f>
        <v/>
      </c>
      <c r="X6" s="516"/>
      <c r="Y6" s="516"/>
      <c r="Z6" s="516"/>
      <c r="AA6" s="517"/>
    </row>
    <row r="7" spans="4:28" x14ac:dyDescent="0.3">
      <c r="H7" s="56"/>
      <c r="I7" s="182"/>
      <c r="J7" s="182"/>
      <c r="K7" s="86"/>
      <c r="L7" s="86"/>
      <c r="M7" s="86"/>
      <c r="O7" s="50"/>
      <c r="V7" s="56"/>
      <c r="W7" s="182"/>
      <c r="X7" s="182"/>
      <c r="Y7" s="86"/>
      <c r="Z7" s="86"/>
      <c r="AA7" s="86"/>
    </row>
    <row r="8" spans="4:28" x14ac:dyDescent="0.3">
      <c r="H8" s="56" t="s">
        <v>48</v>
      </c>
      <c r="I8" s="518" t="str">
        <f>IF(Summary!E8="","",Summary!E8)</f>
        <v/>
      </c>
      <c r="J8" s="518"/>
      <c r="K8" s="86"/>
      <c r="L8" s="86"/>
      <c r="M8" s="86"/>
      <c r="O8" s="50"/>
      <c r="V8" s="56" t="s">
        <v>48</v>
      </c>
      <c r="W8" s="526" t="str">
        <f>IF(Summary!$S8="","",Summary!$S8)</f>
        <v/>
      </c>
      <c r="X8" s="527"/>
      <c r="Y8" s="86"/>
      <c r="Z8" s="86"/>
      <c r="AA8" s="86"/>
    </row>
    <row r="9" spans="4:28" x14ac:dyDescent="0.3">
      <c r="H9" s="56"/>
      <c r="I9" s="84"/>
      <c r="J9" s="84"/>
      <c r="K9" s="86"/>
      <c r="L9" s="86"/>
      <c r="M9" s="86"/>
      <c r="O9" s="50"/>
      <c r="V9" s="56"/>
      <c r="W9" s="84"/>
      <c r="X9" s="84"/>
      <c r="Y9" s="86"/>
      <c r="Z9" s="86"/>
      <c r="AA9" s="86"/>
    </row>
    <row r="10" spans="4:28" x14ac:dyDescent="0.3">
      <c r="H10" s="56" t="s">
        <v>45</v>
      </c>
      <c r="I10" s="23">
        <v>0</v>
      </c>
      <c r="J10" s="84"/>
      <c r="K10" s="86"/>
      <c r="L10" s="86"/>
      <c r="M10" s="86"/>
      <c r="O10" s="50"/>
      <c r="V10" s="56" t="s">
        <v>46</v>
      </c>
      <c r="W10" s="23">
        <f>IF(Q28=1,P21,0)</f>
        <v>0</v>
      </c>
      <c r="X10" s="84"/>
      <c r="Y10" s="86"/>
      <c r="Z10" s="86"/>
      <c r="AA10" s="86"/>
    </row>
    <row r="11" spans="4:28" ht="16.2" thickBot="1" x14ac:dyDescent="0.35">
      <c r="E11" s="3"/>
      <c r="F11" s="3"/>
      <c r="G11" s="3"/>
      <c r="H11" s="3"/>
      <c r="I11" s="3"/>
      <c r="J11" s="3"/>
      <c r="K11" s="3"/>
      <c r="L11" s="3"/>
      <c r="M11" s="3"/>
      <c r="N11" s="3"/>
      <c r="O11" s="50"/>
      <c r="S11" s="3"/>
      <c r="T11" s="3"/>
      <c r="U11" s="3"/>
      <c r="V11" s="3"/>
      <c r="W11" s="3"/>
      <c r="X11" s="3"/>
      <c r="Y11" s="3"/>
      <c r="Z11" s="3"/>
      <c r="AA11" s="3"/>
      <c r="AB11" s="3"/>
    </row>
    <row r="12" spans="4:28" x14ac:dyDescent="0.3">
      <c r="O12" s="50"/>
    </row>
    <row r="13" spans="4:28" ht="33.75" customHeight="1" x14ac:dyDescent="0.3">
      <c r="E13" s="443" t="s">
        <v>615</v>
      </c>
      <c r="F13" s="443"/>
      <c r="G13" s="443"/>
      <c r="H13" s="443"/>
      <c r="I13" s="443"/>
      <c r="J13" s="443"/>
      <c r="K13" s="443"/>
      <c r="L13" s="443"/>
      <c r="M13" s="443"/>
      <c r="N13" s="443"/>
      <c r="O13" s="50"/>
      <c r="S13" s="443" t="s">
        <v>565</v>
      </c>
      <c r="T13" s="443"/>
      <c r="U13" s="443"/>
      <c r="V13" s="443"/>
      <c r="W13" s="443"/>
      <c r="X13" s="443"/>
      <c r="Y13" s="443"/>
      <c r="Z13" s="443"/>
      <c r="AA13" s="443"/>
      <c r="AB13" s="443"/>
    </row>
    <row r="14" spans="4:28" ht="22.5" customHeight="1" x14ac:dyDescent="0.3">
      <c r="E14" s="183"/>
      <c r="F14" s="183"/>
      <c r="G14" s="183"/>
      <c r="H14" s="183"/>
      <c r="I14" s="183"/>
      <c r="J14" s="183"/>
      <c r="K14" s="183"/>
      <c r="L14" s="183"/>
      <c r="M14" s="183"/>
      <c r="N14" s="183"/>
      <c r="O14" s="50"/>
      <c r="S14" s="183"/>
      <c r="T14" s="183"/>
      <c r="U14" s="183"/>
      <c r="V14" s="183"/>
      <c r="W14" s="183"/>
      <c r="X14" s="183"/>
      <c r="Y14" s="183"/>
      <c r="Z14" s="183"/>
      <c r="AA14" s="183"/>
      <c r="AB14" s="183"/>
    </row>
    <row r="15" spans="4:28" x14ac:dyDescent="0.3">
      <c r="E15" s="434" t="s">
        <v>487</v>
      </c>
      <c r="F15" s="434"/>
      <c r="G15" s="434"/>
      <c r="H15" s="434"/>
      <c r="I15" s="434"/>
      <c r="J15" s="434"/>
      <c r="K15" s="434"/>
      <c r="L15" s="434"/>
      <c r="M15" s="434"/>
      <c r="N15" s="434"/>
      <c r="O15" s="50"/>
    </row>
    <row r="16" spans="4:28" x14ac:dyDescent="0.3">
      <c r="D16" s="30" t="s">
        <v>3</v>
      </c>
      <c r="E16" s="434"/>
      <c r="F16" s="434"/>
      <c r="G16" s="434"/>
      <c r="H16" s="434"/>
      <c r="I16" s="434"/>
      <c r="J16" s="434"/>
      <c r="K16" s="434"/>
      <c r="L16" s="434"/>
      <c r="M16" s="434"/>
      <c r="N16" s="434"/>
      <c r="O16" s="50"/>
      <c r="R16" s="30" t="s">
        <v>3</v>
      </c>
      <c r="S16" s="534" t="str">
        <f>IF(Q25&gt;1,"ERROR: SELECT ONLY ONE","")</f>
        <v/>
      </c>
      <c r="T16" s="534"/>
      <c r="U16" s="534"/>
      <c r="V16" s="534"/>
      <c r="W16" s="534"/>
      <c r="X16" s="534"/>
      <c r="Y16" s="534"/>
      <c r="Z16" s="534"/>
      <c r="AA16" s="534"/>
      <c r="AB16" s="534"/>
    </row>
    <row r="17" spans="2:28" x14ac:dyDescent="0.3">
      <c r="E17" s="335"/>
      <c r="F17" s="335"/>
      <c r="G17" s="335"/>
      <c r="H17" s="335"/>
      <c r="I17" s="335"/>
      <c r="J17" s="335"/>
      <c r="K17" s="335"/>
      <c r="L17" s="335"/>
      <c r="M17" s="335"/>
      <c r="N17" s="335"/>
      <c r="O17" s="50"/>
      <c r="S17" s="346"/>
      <c r="T17" s="346"/>
      <c r="U17" s="346"/>
      <c r="V17" s="346"/>
      <c r="W17" s="346"/>
      <c r="X17" s="346"/>
      <c r="Y17" s="346"/>
      <c r="Z17" s="346"/>
      <c r="AA17" s="346"/>
      <c r="AB17" s="346"/>
    </row>
    <row r="18" spans="2:28" x14ac:dyDescent="0.3">
      <c r="E18" s="9"/>
      <c r="G18" s="32"/>
      <c r="H18" s="434" t="s">
        <v>427</v>
      </c>
      <c r="I18" s="434"/>
      <c r="J18" s="434"/>
      <c r="K18" s="434"/>
      <c r="L18" s="434"/>
      <c r="M18" s="434"/>
      <c r="N18" s="434"/>
      <c r="O18" s="50"/>
    </row>
    <row r="19" spans="2:28" ht="16.2" thickBot="1" x14ac:dyDescent="0.35">
      <c r="E19" s="9"/>
      <c r="F19" s="9"/>
      <c r="G19" s="32"/>
      <c r="H19" s="1" t="s">
        <v>428</v>
      </c>
      <c r="O19" s="50"/>
      <c r="S19" s="407" t="s">
        <v>17</v>
      </c>
      <c r="T19" s="407"/>
      <c r="U19" s="407"/>
      <c r="V19" s="407"/>
      <c r="W19" s="407"/>
      <c r="X19" s="407"/>
      <c r="Y19" s="407"/>
      <c r="Z19" s="407"/>
      <c r="AA19" s="407"/>
      <c r="AB19" s="407"/>
    </row>
    <row r="20" spans="2:28" ht="15.75" customHeight="1" x14ac:dyDescent="0.3">
      <c r="B20" s="342" t="s">
        <v>56</v>
      </c>
      <c r="C20" s="342" t="s">
        <v>58</v>
      </c>
      <c r="D20" s="342" t="s">
        <v>52</v>
      </c>
      <c r="E20" s="9"/>
      <c r="F20" s="9"/>
      <c r="G20" s="32"/>
      <c r="H20" s="554" t="s">
        <v>457</v>
      </c>
      <c r="I20" s="555"/>
      <c r="J20" s="555"/>
      <c r="K20" s="555"/>
      <c r="L20" s="555"/>
      <c r="M20" s="555"/>
      <c r="N20" s="555"/>
      <c r="O20" s="50"/>
      <c r="P20" s="342" t="s">
        <v>56</v>
      </c>
      <c r="Q20" s="342" t="s">
        <v>58</v>
      </c>
      <c r="R20" s="342" t="s">
        <v>52</v>
      </c>
      <c r="U20" s="7"/>
      <c r="V20" s="7"/>
      <c r="W20" s="7"/>
      <c r="X20" s="7"/>
      <c r="Y20" s="7"/>
      <c r="Z20" s="7"/>
      <c r="AA20" s="7"/>
      <c r="AB20" s="7"/>
    </row>
    <row r="21" spans="2:28" ht="15.75" customHeight="1" x14ac:dyDescent="0.3">
      <c r="B21" s="551">
        <f>SUM(E21:E27)</f>
        <v>0</v>
      </c>
      <c r="C21" s="186">
        <f t="shared" ref="C21:C27" si="0">IF(F21="X",1,0)</f>
        <v>0</v>
      </c>
      <c r="D21" s="186">
        <v>-3</v>
      </c>
      <c r="E21" s="278"/>
      <c r="F21" s="54"/>
      <c r="G21" s="32"/>
      <c r="H21" s="435" t="s">
        <v>488</v>
      </c>
      <c r="I21" s="434"/>
      <c r="J21" s="434"/>
      <c r="K21" s="434"/>
      <c r="L21" s="434"/>
      <c r="M21" s="434"/>
      <c r="N21" s="434"/>
      <c r="O21" s="50"/>
      <c r="P21" s="556">
        <f>SUM(S21:S27)</f>
        <v>0</v>
      </c>
      <c r="Q21" s="186">
        <f t="shared" ref="Q21:Q27" si="1">IF(T21="X",1,0)</f>
        <v>0</v>
      </c>
      <c r="R21" s="186">
        <v>-3</v>
      </c>
      <c r="S21" s="167" t="str">
        <f t="shared" ref="S21:S27" si="2">IF(T21="X",R21,"")</f>
        <v/>
      </c>
      <c r="T21" s="77"/>
      <c r="U21" s="444" t="s">
        <v>18</v>
      </c>
      <c r="V21" s="444"/>
      <c r="W21" s="444"/>
      <c r="X21" s="444"/>
      <c r="Y21" s="444"/>
      <c r="Z21" s="444"/>
      <c r="AA21" s="444"/>
      <c r="AB21" s="444"/>
    </row>
    <row r="22" spans="2:28" ht="15.75" customHeight="1" x14ac:dyDescent="0.3">
      <c r="B22" s="552"/>
      <c r="C22" s="186">
        <f t="shared" si="0"/>
        <v>0</v>
      </c>
      <c r="D22" s="186">
        <v>-2</v>
      </c>
      <c r="E22" s="278"/>
      <c r="F22" s="54"/>
      <c r="G22" s="54"/>
      <c r="H22" s="555"/>
      <c r="I22" s="555"/>
      <c r="J22" s="555"/>
      <c r="K22" s="555"/>
      <c r="L22" s="555"/>
      <c r="M22" s="555"/>
      <c r="N22" s="555"/>
      <c r="O22" s="50"/>
      <c r="P22" s="556"/>
      <c r="Q22" s="186">
        <f t="shared" si="1"/>
        <v>0</v>
      </c>
      <c r="R22" s="186">
        <v>-2</v>
      </c>
      <c r="S22" s="167" t="str">
        <f t="shared" si="2"/>
        <v/>
      </c>
      <c r="T22" s="77"/>
      <c r="U22" s="500" t="s">
        <v>278</v>
      </c>
      <c r="V22" s="501"/>
      <c r="W22" s="501"/>
      <c r="X22" s="501"/>
      <c r="Y22" s="501"/>
      <c r="Z22" s="501"/>
      <c r="AA22" s="501"/>
      <c r="AB22" s="502"/>
    </row>
    <row r="23" spans="2:28" ht="15.75" customHeight="1" x14ac:dyDescent="0.3">
      <c r="B23" s="552"/>
      <c r="C23" s="186">
        <f t="shared" si="0"/>
        <v>0</v>
      </c>
      <c r="D23" s="186">
        <v>-1</v>
      </c>
      <c r="E23" s="184"/>
      <c r="F23" s="230"/>
      <c r="G23" s="373"/>
      <c r="H23" s="434"/>
      <c r="I23" s="434"/>
      <c r="J23" s="434"/>
      <c r="K23" s="434"/>
      <c r="L23" s="434"/>
      <c r="M23" s="434"/>
      <c r="N23" s="434"/>
      <c r="O23" s="50"/>
      <c r="P23" s="556"/>
      <c r="Q23" s="186">
        <f t="shared" si="1"/>
        <v>0</v>
      </c>
      <c r="R23" s="186">
        <v>-1</v>
      </c>
      <c r="S23" s="167" t="str">
        <f t="shared" si="2"/>
        <v/>
      </c>
      <c r="T23" s="77"/>
      <c r="U23" s="503"/>
      <c r="V23" s="504"/>
      <c r="W23" s="504"/>
      <c r="X23" s="504"/>
      <c r="Y23" s="504"/>
      <c r="Z23" s="504"/>
      <c r="AA23" s="504"/>
      <c r="AB23" s="505"/>
    </row>
    <row r="24" spans="2:28" ht="30.75" customHeight="1" x14ac:dyDescent="0.3">
      <c r="B24" s="552"/>
      <c r="C24" s="186">
        <f t="shared" si="0"/>
        <v>0</v>
      </c>
      <c r="D24" s="186">
        <v>0</v>
      </c>
      <c r="E24" s="184"/>
      <c r="F24" s="230"/>
      <c r="G24" s="373"/>
      <c r="O24" s="50"/>
      <c r="P24" s="556"/>
      <c r="Q24" s="186">
        <f t="shared" si="1"/>
        <v>0</v>
      </c>
      <c r="R24" s="186">
        <v>0</v>
      </c>
      <c r="S24" s="167" t="str">
        <f t="shared" si="2"/>
        <v/>
      </c>
      <c r="T24" s="77"/>
      <c r="U24" s="444" t="s">
        <v>97</v>
      </c>
      <c r="V24" s="444"/>
      <c r="W24" s="444"/>
      <c r="X24" s="444"/>
      <c r="Y24" s="444"/>
      <c r="Z24" s="444"/>
      <c r="AA24" s="444"/>
      <c r="AB24" s="444"/>
    </row>
    <row r="25" spans="2:28" ht="15" customHeight="1" x14ac:dyDescent="0.3">
      <c r="B25" s="552"/>
      <c r="C25" s="186">
        <f t="shared" si="0"/>
        <v>0</v>
      </c>
      <c r="D25" s="186">
        <v>1</v>
      </c>
      <c r="E25" s="184"/>
      <c r="F25" s="230"/>
      <c r="G25" s="174"/>
      <c r="H25" s="174"/>
      <c r="I25" s="174"/>
      <c r="J25" s="174"/>
      <c r="K25" s="174"/>
      <c r="L25" s="174"/>
      <c r="M25" s="174"/>
      <c r="N25" s="189"/>
      <c r="O25" s="50"/>
      <c r="P25" s="556"/>
      <c r="Q25" s="186">
        <f t="shared" si="1"/>
        <v>0</v>
      </c>
      <c r="R25" s="186">
        <v>1</v>
      </c>
      <c r="S25" s="167" t="str">
        <f t="shared" si="2"/>
        <v/>
      </c>
      <c r="T25" s="77"/>
      <c r="U25" s="506" t="s">
        <v>279</v>
      </c>
      <c r="V25" s="507"/>
      <c r="W25" s="507"/>
      <c r="X25" s="507"/>
      <c r="Y25" s="507"/>
      <c r="Z25" s="507"/>
      <c r="AA25" s="507"/>
      <c r="AB25" s="508"/>
    </row>
    <row r="26" spans="2:28" x14ac:dyDescent="0.3">
      <c r="B26" s="552"/>
      <c r="C26" s="186">
        <f t="shared" si="0"/>
        <v>0</v>
      </c>
      <c r="D26" s="186">
        <v>2</v>
      </c>
      <c r="E26" s="112"/>
      <c r="F26" s="230"/>
      <c r="G26" s="174"/>
      <c r="H26" s="174"/>
      <c r="I26" s="174"/>
      <c r="J26" s="174"/>
      <c r="K26" s="174"/>
      <c r="L26" s="174"/>
      <c r="M26" s="174"/>
      <c r="N26" s="189"/>
      <c r="O26" s="50"/>
      <c r="P26" s="556"/>
      <c r="Q26" s="186">
        <f t="shared" si="1"/>
        <v>0</v>
      </c>
      <c r="R26" s="186">
        <v>2</v>
      </c>
      <c r="S26" s="167" t="str">
        <f t="shared" si="2"/>
        <v/>
      </c>
      <c r="T26" s="77"/>
      <c r="U26" s="503"/>
      <c r="V26" s="504"/>
      <c r="W26" s="504"/>
      <c r="X26" s="504"/>
      <c r="Y26" s="504"/>
      <c r="Z26" s="504"/>
      <c r="AA26" s="504"/>
      <c r="AB26" s="505"/>
    </row>
    <row r="27" spans="2:28" x14ac:dyDescent="0.3">
      <c r="B27" s="553"/>
      <c r="C27" s="186">
        <f t="shared" si="0"/>
        <v>0</v>
      </c>
      <c r="D27" s="186">
        <v>3</v>
      </c>
      <c r="E27" s="112"/>
      <c r="F27" s="230"/>
      <c r="G27" s="174"/>
      <c r="H27" s="174"/>
      <c r="I27" s="174"/>
      <c r="J27" s="174"/>
      <c r="K27" s="174"/>
      <c r="L27" s="174"/>
      <c r="M27" s="174"/>
      <c r="N27" s="189"/>
      <c r="O27" s="50"/>
      <c r="P27" s="556"/>
      <c r="Q27" s="186">
        <f t="shared" si="1"/>
        <v>0</v>
      </c>
      <c r="R27" s="186">
        <v>3</v>
      </c>
      <c r="S27" s="167" t="str">
        <f t="shared" si="2"/>
        <v/>
      </c>
      <c r="T27" s="77"/>
      <c r="U27" s="444" t="s">
        <v>19</v>
      </c>
      <c r="V27" s="444"/>
      <c r="W27" s="444"/>
      <c r="X27" s="444"/>
      <c r="Y27" s="444"/>
      <c r="Z27" s="444"/>
      <c r="AA27" s="444"/>
      <c r="AB27" s="444"/>
    </row>
    <row r="28" spans="2:28" x14ac:dyDescent="0.3">
      <c r="C28" s="198">
        <f>SUM(C21:C27)</f>
        <v>0</v>
      </c>
      <c r="G28" s="8"/>
      <c r="O28" s="50"/>
      <c r="Q28" s="198">
        <f>SUM(Q21:Q27)</f>
        <v>0</v>
      </c>
      <c r="U28" s="8"/>
    </row>
    <row r="29" spans="2:28" x14ac:dyDescent="0.3">
      <c r="G29" s="8"/>
      <c r="O29" s="50"/>
      <c r="U29" s="8"/>
    </row>
    <row r="30" spans="2:28" x14ac:dyDescent="0.3">
      <c r="G30" s="8"/>
      <c r="O30" s="50"/>
      <c r="U30" s="8"/>
    </row>
    <row r="31" spans="2:28" x14ac:dyDescent="0.3">
      <c r="G31" s="8"/>
      <c r="O31" s="50"/>
      <c r="U31" s="8"/>
    </row>
    <row r="32" spans="2:28" x14ac:dyDescent="0.3">
      <c r="G32" s="8"/>
      <c r="O32" s="50"/>
      <c r="U32" s="8"/>
    </row>
    <row r="33" spans="2:28" x14ac:dyDescent="0.3">
      <c r="G33" s="8"/>
      <c r="O33" s="50"/>
      <c r="U33" s="8"/>
    </row>
    <row r="34" spans="2:28" s="8" customFormat="1" x14ac:dyDescent="0.3">
      <c r="B34" s="31"/>
      <c r="C34" s="28"/>
      <c r="D34" s="31"/>
      <c r="O34" s="51"/>
      <c r="P34" s="31"/>
      <c r="Q34" s="28"/>
      <c r="R34" s="31"/>
    </row>
    <row r="35" spans="2:28" ht="48.75" customHeight="1" x14ac:dyDescent="0.3">
      <c r="E35" s="537"/>
      <c r="F35" s="537"/>
      <c r="G35" s="537"/>
      <c r="H35" s="537"/>
      <c r="I35" s="537"/>
      <c r="J35" s="537"/>
      <c r="K35" s="537"/>
      <c r="L35" s="537"/>
      <c r="M35" s="537"/>
      <c r="N35" s="537"/>
      <c r="O35" s="50"/>
      <c r="S35" s="537"/>
      <c r="T35" s="537"/>
      <c r="U35" s="537"/>
      <c r="V35" s="537"/>
      <c r="W35" s="537"/>
      <c r="X35" s="537"/>
      <c r="Y35" s="537"/>
      <c r="Z35" s="537"/>
      <c r="AA35" s="537"/>
      <c r="AB35" s="537"/>
    </row>
    <row r="36" spans="2:28" s="8" customFormat="1" ht="62.25" customHeight="1" x14ac:dyDescent="0.3">
      <c r="B36" s="31"/>
      <c r="C36" s="28"/>
      <c r="D36" s="31"/>
      <c r="E36" s="537"/>
      <c r="F36" s="537"/>
      <c r="G36" s="537"/>
      <c r="H36" s="537"/>
      <c r="I36" s="537"/>
      <c r="J36" s="537"/>
      <c r="K36" s="537"/>
      <c r="L36" s="537"/>
      <c r="M36" s="537"/>
      <c r="N36" s="537"/>
      <c r="O36" s="51"/>
      <c r="P36" s="31"/>
      <c r="Q36" s="28"/>
      <c r="R36" s="31"/>
      <c r="S36" s="537"/>
      <c r="T36" s="537"/>
      <c r="U36" s="537"/>
      <c r="V36" s="537"/>
      <c r="W36" s="537"/>
      <c r="X36" s="537"/>
      <c r="Y36" s="537"/>
      <c r="Z36" s="537"/>
      <c r="AA36" s="537"/>
      <c r="AB36" s="537"/>
    </row>
    <row r="37" spans="2:28" s="8" customFormat="1" x14ac:dyDescent="0.3">
      <c r="B37" s="31"/>
      <c r="C37" s="28"/>
      <c r="D37" s="31"/>
      <c r="P37" s="31"/>
      <c r="Q37" s="28"/>
      <c r="R37" s="31"/>
    </row>
    <row r="38" spans="2:28" s="8" customFormat="1" x14ac:dyDescent="0.3">
      <c r="B38" s="31"/>
      <c r="C38" s="28"/>
      <c r="D38" s="31"/>
      <c r="P38" s="31"/>
      <c r="Q38" s="28"/>
      <c r="R38" s="31"/>
    </row>
    <row r="39" spans="2:28" s="8" customFormat="1" x14ac:dyDescent="0.3">
      <c r="B39" s="31"/>
      <c r="C39" s="28"/>
      <c r="D39" s="31"/>
      <c r="P39" s="31"/>
      <c r="Q39" s="28"/>
      <c r="R39" s="31"/>
    </row>
    <row r="41" spans="2:28" x14ac:dyDescent="0.3">
      <c r="E41" s="9"/>
      <c r="F41" s="9"/>
      <c r="G41" s="7"/>
      <c r="S41" s="9"/>
      <c r="T41" s="9"/>
      <c r="U41" s="7"/>
    </row>
  </sheetData>
  <sheetProtection algorithmName="SHA-512" hashValue="UoKUpHTzRM+ib5L/TNbyMRMXJzX8073JUpU7+UIqPfq3Gr/hRiWT1LMCN0LLBM8Ms/2rspdeIoy4tcxiLsZkVg==" saltValue="a7dXlepJ1NcD8k/FQ3P7rQ==" spinCount="100000" sheet="1" objects="1" scenarios="1" selectLockedCells="1"/>
  <mergeCells count="29">
    <mergeCell ref="E35:N35"/>
    <mergeCell ref="S35:AB35"/>
    <mergeCell ref="S36:AB36"/>
    <mergeCell ref="E36:N36"/>
    <mergeCell ref="S2:AB2"/>
    <mergeCell ref="S3:AB3"/>
    <mergeCell ref="W6:AA6"/>
    <mergeCell ref="W8:X8"/>
    <mergeCell ref="S13:AB13"/>
    <mergeCell ref="S16:AB16"/>
    <mergeCell ref="S19:AB19"/>
    <mergeCell ref="U21:AB21"/>
    <mergeCell ref="P21:P27"/>
    <mergeCell ref="U22:AB23"/>
    <mergeCell ref="U25:AB26"/>
    <mergeCell ref="U27:AB27"/>
    <mergeCell ref="U24:AB24"/>
    <mergeCell ref="B21:B27"/>
    <mergeCell ref="E2:N2"/>
    <mergeCell ref="E3:N3"/>
    <mergeCell ref="I6:M6"/>
    <mergeCell ref="I8:J8"/>
    <mergeCell ref="E13:N13"/>
    <mergeCell ref="E15:N16"/>
    <mergeCell ref="H23:N23"/>
    <mergeCell ref="H18:N18"/>
    <mergeCell ref="H20:N20"/>
    <mergeCell ref="H21:N21"/>
    <mergeCell ref="H22:N22"/>
  </mergeCells>
  <dataValidations count="3">
    <dataValidation type="list" allowBlank="1" showInputMessage="1" showErrorMessage="1" sqref="T21:T27" xr:uid="{00000000-0002-0000-0900-000000000000}">
      <formula1>R$15:R$16</formula1>
    </dataValidation>
    <dataValidation type="list" allowBlank="1" showInputMessage="1" showErrorMessage="1" sqref="G23:G24" xr:uid="{07D43AA3-F627-4391-8FC5-CBD88A453866}">
      <formula1>$C$11:$C$12</formula1>
    </dataValidation>
    <dataValidation type="list" allowBlank="1" showInputMessage="1" showErrorMessage="1" sqref="G18:G21" xr:uid="{65169748-A310-4FB7-9571-CBCCDB3585C0}">
      <formula1>$D$16</formula1>
    </dataValidation>
  </dataValidations>
  <pageMargins left="0.7" right="0.7" top="0.75" bottom="0.75" header="0.3" footer="0.3"/>
  <pageSetup scale="71" orientation="portrait" r:id="rId1"/>
  <headerFooter>
    <oddFooter>&amp;CTab: &amp;A&amp;RPrint Date: &amp;D</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dimension ref="B1:Z23"/>
  <sheetViews>
    <sheetView showGridLines="0" view="pageBreakPreview" zoomScaleNormal="100" zoomScaleSheetLayoutView="100" workbookViewId="0">
      <selection activeCell="H16" sqref="H16:I16"/>
    </sheetView>
  </sheetViews>
  <sheetFormatPr defaultColWidth="9.109375" defaultRowHeight="15.6" x14ac:dyDescent="0.3"/>
  <cols>
    <col min="1" max="1" width="3.5546875" style="1" customWidth="1"/>
    <col min="2" max="3" width="9.109375" style="30" hidden="1" customWidth="1"/>
    <col min="4" max="5" width="4.88671875" style="1" customWidth="1"/>
    <col min="6" max="12" width="12.44140625" style="1" customWidth="1"/>
    <col min="13" max="13" width="14.44140625" style="1" customWidth="1"/>
    <col min="14" max="14" width="1.5546875" style="1" hidden="1" customWidth="1"/>
    <col min="15" max="15" width="3.5546875" style="30" customWidth="1"/>
    <col min="16" max="16" width="0.88671875" style="30" hidden="1" customWidth="1"/>
    <col min="17" max="17" width="5" style="1" customWidth="1"/>
    <col min="18" max="18" width="4.88671875" style="1" customWidth="1"/>
    <col min="19" max="26" width="12.44140625" style="1" customWidth="1"/>
    <col min="27" max="16384" width="9.109375" style="1"/>
  </cols>
  <sheetData>
    <row r="1" spans="2:26" x14ac:dyDescent="0.3">
      <c r="N1" s="50"/>
    </row>
    <row r="2" spans="2:26" x14ac:dyDescent="0.3">
      <c r="D2" s="410" t="s">
        <v>149</v>
      </c>
      <c r="E2" s="410"/>
      <c r="F2" s="410"/>
      <c r="G2" s="410"/>
      <c r="H2" s="410"/>
      <c r="I2" s="410"/>
      <c r="J2" s="410"/>
      <c r="K2" s="410"/>
      <c r="L2" s="410"/>
      <c r="M2" s="410"/>
      <c r="N2" s="50"/>
      <c r="Q2" s="410" t="s">
        <v>149</v>
      </c>
      <c r="R2" s="410"/>
      <c r="S2" s="410"/>
      <c r="T2" s="410"/>
      <c r="U2" s="410"/>
      <c r="V2" s="410"/>
      <c r="W2" s="410"/>
      <c r="X2" s="410"/>
      <c r="Y2" s="410"/>
      <c r="Z2" s="410"/>
    </row>
    <row r="3" spans="2:26" ht="16.2" thickBot="1" x14ac:dyDescent="0.35">
      <c r="D3" s="411" t="s">
        <v>53</v>
      </c>
      <c r="E3" s="411"/>
      <c r="F3" s="411"/>
      <c r="G3" s="411"/>
      <c r="H3" s="411"/>
      <c r="I3" s="411"/>
      <c r="J3" s="411"/>
      <c r="K3" s="411"/>
      <c r="L3" s="411"/>
      <c r="M3" s="411"/>
      <c r="N3" s="50"/>
      <c r="Q3" s="411" t="s">
        <v>54</v>
      </c>
      <c r="R3" s="411"/>
      <c r="S3" s="411"/>
      <c r="T3" s="411"/>
      <c r="U3" s="411"/>
      <c r="V3" s="411"/>
      <c r="W3" s="411"/>
      <c r="X3" s="411"/>
      <c r="Y3" s="411"/>
      <c r="Z3" s="411"/>
    </row>
    <row r="4" spans="2:26" x14ac:dyDescent="0.3">
      <c r="D4" s="2"/>
      <c r="E4" s="2"/>
      <c r="F4" s="2"/>
      <c r="G4" s="2"/>
      <c r="H4" s="2"/>
      <c r="I4" s="2"/>
      <c r="J4" s="2"/>
      <c r="K4" s="2"/>
      <c r="L4" s="2"/>
      <c r="M4" s="2"/>
      <c r="N4" s="50"/>
      <c r="Q4" s="2"/>
      <c r="R4" s="2"/>
      <c r="S4" s="2"/>
      <c r="T4" s="2"/>
      <c r="U4" s="2"/>
      <c r="V4" s="2"/>
      <c r="W4" s="2"/>
      <c r="X4" s="2"/>
      <c r="Y4" s="2"/>
      <c r="Z4" s="2"/>
    </row>
    <row r="5" spans="2:26" x14ac:dyDescent="0.3">
      <c r="D5" s="2"/>
      <c r="E5" s="2"/>
      <c r="G5" s="56" t="s">
        <v>0</v>
      </c>
      <c r="H5" s="21" t="str">
        <f>IF(Summary!$E$5="","",Summary!$E$5)</f>
        <v/>
      </c>
      <c r="I5" s="86"/>
      <c r="J5" s="86"/>
      <c r="K5" s="86"/>
      <c r="L5" s="86"/>
      <c r="M5" s="2"/>
      <c r="N5" s="50"/>
      <c r="Q5" s="2"/>
      <c r="R5" s="2"/>
      <c r="T5" s="56" t="s">
        <v>0</v>
      </c>
      <c r="U5" s="21" t="str">
        <f>IF(Summary!$S$5="","",Summary!$S$5)</f>
        <v/>
      </c>
      <c r="V5" s="86"/>
      <c r="W5" s="86"/>
      <c r="X5" s="86"/>
      <c r="Y5" s="86"/>
      <c r="Z5" s="2"/>
    </row>
    <row r="6" spans="2:26" x14ac:dyDescent="0.3">
      <c r="G6" s="56" t="s">
        <v>1</v>
      </c>
      <c r="H6" s="515" t="str">
        <f>IF(Summary!E6="","",Summary!E6)</f>
        <v/>
      </c>
      <c r="I6" s="516"/>
      <c r="J6" s="516"/>
      <c r="K6" s="516"/>
      <c r="L6" s="517"/>
      <c r="N6" s="50"/>
      <c r="T6" s="56" t="s">
        <v>1</v>
      </c>
      <c r="U6" s="515" t="str">
        <f>IF(Summary!$S6="","",Summary!$S6)</f>
        <v/>
      </c>
      <c r="V6" s="516"/>
      <c r="W6" s="516"/>
      <c r="X6" s="516"/>
      <c r="Y6" s="517"/>
    </row>
    <row r="7" spans="2:26" x14ac:dyDescent="0.3">
      <c r="G7" s="56"/>
      <c r="H7" s="182"/>
      <c r="I7" s="182"/>
      <c r="J7" s="86"/>
      <c r="K7" s="86"/>
      <c r="L7" s="86"/>
      <c r="N7" s="50"/>
      <c r="T7" s="56"/>
      <c r="U7" s="182"/>
      <c r="V7" s="182"/>
      <c r="W7" s="86"/>
      <c r="X7" s="86"/>
      <c r="Y7" s="86"/>
    </row>
    <row r="8" spans="2:26" x14ac:dyDescent="0.3">
      <c r="G8" s="56" t="s">
        <v>48</v>
      </c>
      <c r="H8" s="518" t="str">
        <f>IF(Summary!E8="","",Summary!E8)</f>
        <v/>
      </c>
      <c r="I8" s="518"/>
      <c r="J8" s="86"/>
      <c r="K8" s="86"/>
      <c r="L8" s="86"/>
      <c r="N8" s="50"/>
      <c r="T8" s="56" t="s">
        <v>48</v>
      </c>
      <c r="U8" s="526" t="str">
        <f>IF(Summary!$S8="","",Summary!$S8)</f>
        <v/>
      </c>
      <c r="V8" s="527"/>
      <c r="W8" s="86"/>
      <c r="X8" s="86"/>
      <c r="Y8" s="86"/>
    </row>
    <row r="9" spans="2:26" x14ac:dyDescent="0.3">
      <c r="G9" s="56"/>
      <c r="H9" s="86"/>
      <c r="I9" s="86"/>
      <c r="J9" s="86"/>
      <c r="K9" s="86"/>
      <c r="L9" s="86"/>
      <c r="N9" s="50"/>
      <c r="T9" s="56"/>
      <c r="U9" s="86"/>
      <c r="V9" s="86"/>
      <c r="W9" s="86"/>
      <c r="X9" s="86"/>
      <c r="Y9" s="86"/>
    </row>
    <row r="10" spans="2:26" x14ac:dyDescent="0.3">
      <c r="G10" s="56" t="s">
        <v>45</v>
      </c>
      <c r="H10" s="341">
        <f>IF(H16="",0,IF(H20&gt;10,10,H20))</f>
        <v>0</v>
      </c>
      <c r="I10" s="86"/>
      <c r="J10" s="86"/>
      <c r="K10" s="86"/>
      <c r="L10" s="86"/>
      <c r="N10" s="50"/>
      <c r="T10" s="56" t="s">
        <v>46</v>
      </c>
      <c r="U10" s="341">
        <f>IF(U16="",0,IF(U20&gt;10,10,U20))</f>
        <v>0</v>
      </c>
      <c r="V10" s="86"/>
      <c r="W10" s="86"/>
      <c r="X10" s="86"/>
      <c r="Y10" s="86"/>
    </row>
    <row r="11" spans="2:26" ht="16.2" thickBot="1" x14ac:dyDescent="0.35">
      <c r="D11" s="3"/>
      <c r="E11" s="3"/>
      <c r="F11" s="3"/>
      <c r="G11" s="3"/>
      <c r="H11" s="3"/>
      <c r="I11" s="3"/>
      <c r="J11" s="3"/>
      <c r="K11" s="3"/>
      <c r="L11" s="3"/>
      <c r="M11" s="3"/>
      <c r="N11" s="50"/>
      <c r="Q11" s="3"/>
      <c r="R11" s="3"/>
      <c r="S11" s="3"/>
      <c r="T11" s="3"/>
      <c r="U11" s="3"/>
      <c r="V11" s="3"/>
      <c r="W11" s="3"/>
      <c r="X11" s="3"/>
      <c r="Y11" s="3"/>
      <c r="Z11" s="3"/>
    </row>
    <row r="12" spans="2:26" x14ac:dyDescent="0.3">
      <c r="B12" s="30" t="s">
        <v>113</v>
      </c>
      <c r="N12" s="50"/>
    </row>
    <row r="13" spans="2:26" ht="116.25" customHeight="1" x14ac:dyDescent="0.3">
      <c r="B13" s="30" t="s">
        <v>114</v>
      </c>
      <c r="D13" s="434" t="s">
        <v>617</v>
      </c>
      <c r="E13" s="434"/>
      <c r="F13" s="434"/>
      <c r="G13" s="434"/>
      <c r="H13" s="434"/>
      <c r="I13" s="434"/>
      <c r="J13" s="434"/>
      <c r="K13" s="434"/>
      <c r="L13" s="434"/>
      <c r="M13" s="434"/>
      <c r="N13" s="50"/>
      <c r="Q13" s="434" t="s">
        <v>617</v>
      </c>
      <c r="R13" s="434"/>
      <c r="S13" s="434"/>
      <c r="T13" s="434"/>
      <c r="U13" s="434"/>
      <c r="V13" s="434"/>
      <c r="W13" s="434"/>
      <c r="X13" s="434"/>
      <c r="Y13" s="434"/>
      <c r="Z13" s="434"/>
    </row>
    <row r="14" spans="2:26" x14ac:dyDescent="0.3">
      <c r="D14" s="534" t="str">
        <f>IF(AND(H20&lt;&gt;"",OR(H16="",H18="")),"ERROR: INDICATE PROJECT LOCATION TYPE AND WHETHER PROJECT IS SCATTERED SITE","")</f>
        <v/>
      </c>
      <c r="E14" s="534"/>
      <c r="F14" s="534"/>
      <c r="G14" s="534"/>
      <c r="H14" s="534"/>
      <c r="I14" s="534"/>
      <c r="J14" s="534"/>
      <c r="K14" s="534"/>
      <c r="L14" s="534"/>
      <c r="M14" s="534"/>
      <c r="N14" s="50"/>
      <c r="Q14" s="534" t="str">
        <f>IF(AND(U20&lt;&gt;"",OR(U16="",U18="")),"ERROR: INDICATE PROJECT LOCATION TYPE AND WHETHER PROJECT IS SCATTERED SITE","")</f>
        <v/>
      </c>
      <c r="R14" s="534"/>
      <c r="S14" s="534"/>
      <c r="T14" s="534"/>
      <c r="U14" s="534"/>
      <c r="V14" s="534"/>
      <c r="W14" s="534"/>
      <c r="X14" s="534"/>
      <c r="Y14" s="534"/>
      <c r="Z14" s="534"/>
    </row>
    <row r="15" spans="2:26" ht="15" customHeight="1" x14ac:dyDescent="0.3">
      <c r="N15" s="50"/>
      <c r="S15" s="8"/>
    </row>
    <row r="16" spans="2:26" ht="15" customHeight="1" x14ac:dyDescent="0.3">
      <c r="F16" s="8"/>
      <c r="G16" s="56" t="s">
        <v>116</v>
      </c>
      <c r="H16" s="557"/>
      <c r="I16" s="558"/>
      <c r="N16" s="50"/>
      <c r="S16" s="8"/>
      <c r="T16" s="56" t="s">
        <v>116</v>
      </c>
      <c r="U16" s="559"/>
      <c r="V16" s="560"/>
    </row>
    <row r="17" spans="2:21" s="8" customFormat="1" x14ac:dyDescent="0.3">
      <c r="C17" s="31"/>
      <c r="O17" s="31"/>
      <c r="P17" s="31"/>
    </row>
    <row r="18" spans="2:21" s="8" customFormat="1" x14ac:dyDescent="0.3">
      <c r="B18" s="31"/>
      <c r="C18" s="31"/>
      <c r="G18" s="56" t="s">
        <v>115</v>
      </c>
      <c r="H18" s="32"/>
      <c r="O18" s="31"/>
      <c r="P18" s="31"/>
      <c r="T18" s="56" t="s">
        <v>115</v>
      </c>
      <c r="U18" s="82"/>
    </row>
    <row r="19" spans="2:21" s="8" customFormat="1" x14ac:dyDescent="0.3">
      <c r="B19" s="31"/>
      <c r="C19" s="31"/>
      <c r="O19" s="31"/>
      <c r="P19" s="31"/>
    </row>
    <row r="20" spans="2:21" x14ac:dyDescent="0.3">
      <c r="G20" s="56" t="s">
        <v>119</v>
      </c>
      <c r="H20" s="362"/>
      <c r="T20" s="56" t="s">
        <v>119</v>
      </c>
      <c r="U20" s="363"/>
    </row>
    <row r="21" spans="2:21" x14ac:dyDescent="0.3">
      <c r="D21" s="9"/>
      <c r="E21" s="9"/>
      <c r="F21" s="7"/>
      <c r="Q21" s="9"/>
      <c r="R21" s="9"/>
      <c r="S21" s="7"/>
    </row>
    <row r="22" spans="2:21" x14ac:dyDescent="0.3">
      <c r="B22" s="30" t="s">
        <v>117</v>
      </c>
    </row>
    <row r="23" spans="2:21" x14ac:dyDescent="0.3">
      <c r="B23" s="31" t="s">
        <v>118</v>
      </c>
    </row>
  </sheetData>
  <sheetProtection algorithmName="SHA-512" hashValue="zSbKArl+TCW1xxIbjq7G48VUgDGGnVDJJsGoKf+sscJ1Url5Ex5oLLj0KIVvPXsHxaZtVjYo2KFrxZTqFb9ygQ==" saltValue="iz6advb8l4UkGhwmToUvdA==" spinCount="100000" sheet="1" objects="1" scenarios="1" selectLockedCells="1"/>
  <mergeCells count="14">
    <mergeCell ref="D2:M2"/>
    <mergeCell ref="Q2:Z2"/>
    <mergeCell ref="D3:M3"/>
    <mergeCell ref="Q3:Z3"/>
    <mergeCell ref="H6:L6"/>
    <mergeCell ref="U6:Y6"/>
    <mergeCell ref="H16:I16"/>
    <mergeCell ref="U16:V16"/>
    <mergeCell ref="H8:I8"/>
    <mergeCell ref="U8:V8"/>
    <mergeCell ref="D13:M13"/>
    <mergeCell ref="Q13:Z13"/>
    <mergeCell ref="D14:M14"/>
    <mergeCell ref="Q14:Z14"/>
  </mergeCells>
  <dataValidations count="2">
    <dataValidation type="list" allowBlank="1" showInputMessage="1" showErrorMessage="1" sqref="H18 U18" xr:uid="{00000000-0002-0000-0A00-000000000000}">
      <formula1>$B$12:$B$13</formula1>
    </dataValidation>
    <dataValidation type="list" allowBlank="1" showInputMessage="1" showErrorMessage="1" sqref="H16:I16 U16:V16" xr:uid="{00000000-0002-0000-0A00-000001000000}">
      <formula1>$B$22:$B$23</formula1>
    </dataValidation>
  </dataValidations>
  <pageMargins left="0.7" right="0.7" top="0.75" bottom="0.75" header="0.3" footer="0.3"/>
  <pageSetup scale="71" orientation="portrait" r:id="rId1"/>
  <headerFooter>
    <oddFooter>&amp;CTab: &amp;A&amp;RPrint Date: &amp;D</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2D0AAD-2863-4291-AB6D-8A5BE4D4CACB}">
  <dimension ref="B1:Z102"/>
  <sheetViews>
    <sheetView showGridLines="0" view="pageBreakPreview" zoomScaleNormal="100" zoomScaleSheetLayoutView="100" workbookViewId="0">
      <selection activeCell="H22" sqref="H22:I22"/>
    </sheetView>
  </sheetViews>
  <sheetFormatPr defaultColWidth="9.109375" defaultRowHeight="15.6" x14ac:dyDescent="0.3"/>
  <cols>
    <col min="1" max="1" width="3.5546875" style="1" customWidth="1"/>
    <col min="2" max="3" width="9.109375" style="30" hidden="1" customWidth="1"/>
    <col min="4" max="5" width="7" style="1" customWidth="1"/>
    <col min="6" max="13" width="12.44140625" style="1" customWidth="1"/>
    <col min="14" max="14" width="3.5546875" style="1" customWidth="1"/>
    <col min="15" max="15" width="9.109375" style="30" hidden="1" customWidth="1"/>
    <col min="16" max="16" width="2.6640625" style="30" hidden="1" customWidth="1"/>
    <col min="17" max="18" width="7" style="1" customWidth="1"/>
    <col min="19" max="26" width="12.44140625" style="1" customWidth="1"/>
    <col min="27" max="16384" width="9.109375" style="1"/>
  </cols>
  <sheetData>
    <row r="1" spans="2:26" x14ac:dyDescent="0.3">
      <c r="N1" s="50"/>
    </row>
    <row r="2" spans="2:26" x14ac:dyDescent="0.3">
      <c r="D2" s="410" t="s">
        <v>419</v>
      </c>
      <c r="E2" s="410"/>
      <c r="F2" s="410"/>
      <c r="G2" s="410"/>
      <c r="H2" s="410"/>
      <c r="I2" s="410"/>
      <c r="J2" s="410"/>
      <c r="K2" s="410"/>
      <c r="L2" s="410"/>
      <c r="M2" s="410"/>
      <c r="N2" s="50"/>
      <c r="Q2" s="410" t="s">
        <v>419</v>
      </c>
      <c r="R2" s="410"/>
      <c r="S2" s="410"/>
      <c r="T2" s="410"/>
      <c r="U2" s="410"/>
      <c r="V2" s="410"/>
      <c r="W2" s="410"/>
      <c r="X2" s="410"/>
      <c r="Y2" s="410"/>
      <c r="Z2" s="410"/>
    </row>
    <row r="3" spans="2:26" ht="16.2" thickBot="1" x14ac:dyDescent="0.35">
      <c r="D3" s="411" t="s">
        <v>53</v>
      </c>
      <c r="E3" s="411"/>
      <c r="F3" s="411"/>
      <c r="G3" s="411"/>
      <c r="H3" s="411"/>
      <c r="I3" s="411"/>
      <c r="J3" s="411"/>
      <c r="K3" s="411"/>
      <c r="L3" s="411"/>
      <c r="M3" s="411"/>
      <c r="N3" s="50"/>
      <c r="Q3" s="411" t="s">
        <v>54</v>
      </c>
      <c r="R3" s="411"/>
      <c r="S3" s="411"/>
      <c r="T3" s="411"/>
      <c r="U3" s="411"/>
      <c r="V3" s="411"/>
      <c r="W3" s="411"/>
      <c r="X3" s="411"/>
      <c r="Y3" s="411"/>
      <c r="Z3" s="411"/>
    </row>
    <row r="4" spans="2:26" x14ac:dyDescent="0.3">
      <c r="D4" s="2"/>
      <c r="E4" s="2"/>
      <c r="F4" s="2"/>
      <c r="G4" s="2"/>
      <c r="H4" s="2"/>
      <c r="I4" s="2"/>
      <c r="J4" s="2"/>
      <c r="K4" s="2"/>
      <c r="L4" s="2"/>
      <c r="M4" s="2"/>
      <c r="N4" s="50"/>
      <c r="Q4" s="2"/>
      <c r="R4" s="2"/>
      <c r="S4" s="2"/>
      <c r="T4" s="2"/>
      <c r="U4" s="2"/>
      <c r="V4" s="2"/>
      <c r="W4" s="2"/>
      <c r="X4" s="2"/>
      <c r="Y4" s="2"/>
      <c r="Z4" s="2"/>
    </row>
    <row r="5" spans="2:26" x14ac:dyDescent="0.3">
      <c r="D5" s="2"/>
      <c r="E5" s="2"/>
      <c r="G5" s="56" t="s">
        <v>0</v>
      </c>
      <c r="H5" s="21" t="str">
        <f>IF(Summary!$E$5="","",Summary!$E$5)</f>
        <v/>
      </c>
      <c r="I5" s="86"/>
      <c r="J5" s="86"/>
      <c r="K5" s="86"/>
      <c r="L5" s="86"/>
      <c r="M5" s="2"/>
      <c r="N5" s="50"/>
      <c r="Q5" s="2"/>
      <c r="R5" s="2"/>
      <c r="T5" s="56" t="s">
        <v>0</v>
      </c>
      <c r="U5" s="21" t="str">
        <f>IF(Summary!$S$5="","",Summary!$S$5)</f>
        <v/>
      </c>
      <c r="V5" s="86"/>
      <c r="W5" s="86"/>
      <c r="X5" s="86"/>
      <c r="Y5" s="86"/>
      <c r="Z5" s="2"/>
    </row>
    <row r="6" spans="2:26" x14ac:dyDescent="0.3">
      <c r="B6" s="30" t="s">
        <v>113</v>
      </c>
      <c r="G6" s="56" t="s">
        <v>1</v>
      </c>
      <c r="H6" s="515" t="str">
        <f>IF(Summary!E6="","",Summary!E6)</f>
        <v/>
      </c>
      <c r="I6" s="516"/>
      <c r="J6" s="516"/>
      <c r="K6" s="516"/>
      <c r="L6" s="517"/>
      <c r="N6" s="50"/>
      <c r="T6" s="56" t="s">
        <v>1</v>
      </c>
      <c r="U6" s="515" t="str">
        <f>IF(Summary!$S6="","",Summary!$S6)</f>
        <v/>
      </c>
      <c r="V6" s="516"/>
      <c r="W6" s="516"/>
      <c r="X6" s="516"/>
      <c r="Y6" s="517"/>
    </row>
    <row r="7" spans="2:26" x14ac:dyDescent="0.3">
      <c r="B7" s="30" t="s">
        <v>114</v>
      </c>
      <c r="G7" s="56"/>
      <c r="H7" s="182"/>
      <c r="I7" s="182"/>
      <c r="J7" s="86"/>
      <c r="K7" s="86"/>
      <c r="L7" s="86"/>
      <c r="N7" s="50"/>
      <c r="T7" s="56"/>
      <c r="U7" s="182"/>
      <c r="V7" s="182"/>
      <c r="W7" s="86"/>
      <c r="X7" s="86"/>
      <c r="Y7" s="86"/>
    </row>
    <row r="8" spans="2:26" x14ac:dyDescent="0.3">
      <c r="G8" s="56" t="s">
        <v>48</v>
      </c>
      <c r="H8" s="518" t="str">
        <f>IF(Summary!E8="","",Summary!E8)</f>
        <v/>
      </c>
      <c r="I8" s="518"/>
      <c r="J8" s="86"/>
      <c r="K8" s="86"/>
      <c r="L8" s="86"/>
      <c r="N8" s="50"/>
      <c r="T8" s="56" t="s">
        <v>48</v>
      </c>
      <c r="U8" s="526" t="str">
        <f>IF(Summary!$S8="","",Summary!$S8)</f>
        <v/>
      </c>
      <c r="V8" s="527"/>
      <c r="W8" s="86"/>
      <c r="X8" s="86"/>
      <c r="Y8" s="86"/>
    </row>
    <row r="9" spans="2:26" x14ac:dyDescent="0.3">
      <c r="B9" s="30">
        <v>0</v>
      </c>
      <c r="G9" s="56"/>
      <c r="H9" s="86"/>
      <c r="I9" s="86"/>
      <c r="J9" s="86"/>
      <c r="K9" s="86"/>
      <c r="L9" s="86"/>
      <c r="N9" s="50"/>
      <c r="T9" s="56"/>
      <c r="U9" s="86"/>
      <c r="V9" s="86"/>
      <c r="W9" s="86"/>
      <c r="X9" s="86"/>
      <c r="Y9" s="86"/>
    </row>
    <row r="10" spans="2:26" x14ac:dyDescent="0.3">
      <c r="B10" s="30">
        <v>1</v>
      </c>
      <c r="G10" s="56" t="s">
        <v>45</v>
      </c>
      <c r="H10" s="341">
        <f>L20</f>
        <v>0</v>
      </c>
      <c r="I10" s="86"/>
      <c r="J10" s="86"/>
      <c r="K10" s="86"/>
      <c r="L10" s="86"/>
      <c r="N10" s="50"/>
      <c r="T10" s="56" t="s">
        <v>46</v>
      </c>
      <c r="U10" s="341">
        <f>Y20</f>
        <v>0</v>
      </c>
      <c r="V10" s="86"/>
      <c r="W10" s="86"/>
      <c r="X10" s="86"/>
      <c r="Y10" s="86"/>
    </row>
    <row r="11" spans="2:26" ht="16.2" thickBot="1" x14ac:dyDescent="0.35">
      <c r="B11" s="30">
        <v>2</v>
      </c>
      <c r="D11" s="3"/>
      <c r="E11" s="3"/>
      <c r="F11" s="3"/>
      <c r="G11" s="3"/>
      <c r="H11" s="3"/>
      <c r="I11" s="3"/>
      <c r="J11" s="3"/>
      <c r="K11" s="3"/>
      <c r="L11" s="3"/>
      <c r="M11" s="3"/>
      <c r="N11" s="50"/>
      <c r="Q11" s="3"/>
      <c r="R11" s="3"/>
      <c r="S11" s="3"/>
      <c r="T11" s="3"/>
      <c r="U11" s="3"/>
      <c r="V11" s="3"/>
      <c r="W11" s="3"/>
      <c r="X11" s="3"/>
      <c r="Y11" s="3"/>
      <c r="Z11" s="3"/>
    </row>
    <row r="12" spans="2:26" x14ac:dyDescent="0.3">
      <c r="N12" s="50"/>
    </row>
    <row r="13" spans="2:26" ht="157.5" customHeight="1" x14ac:dyDescent="0.3">
      <c r="B13" s="1"/>
      <c r="D13" s="434" t="s">
        <v>616</v>
      </c>
      <c r="E13" s="434"/>
      <c r="F13" s="434"/>
      <c r="G13" s="434"/>
      <c r="H13" s="434"/>
      <c r="I13" s="434"/>
      <c r="J13" s="434"/>
      <c r="K13" s="434"/>
      <c r="L13" s="434"/>
      <c r="M13" s="434"/>
      <c r="N13" s="51"/>
      <c r="O13" s="31"/>
      <c r="P13" s="31"/>
      <c r="Q13" s="434" t="s">
        <v>616</v>
      </c>
      <c r="R13" s="434"/>
      <c r="S13" s="434"/>
      <c r="T13" s="434"/>
      <c r="U13" s="434"/>
      <c r="V13" s="434"/>
      <c r="W13" s="434"/>
      <c r="X13" s="434"/>
      <c r="Y13" s="434"/>
      <c r="Z13" s="434"/>
    </row>
    <row r="14" spans="2:26" ht="15" customHeight="1" x14ac:dyDescent="0.3">
      <c r="N14" s="50"/>
    </row>
    <row r="15" spans="2:26" s="8" customFormat="1" ht="15.75" customHeight="1" x14ac:dyDescent="0.3">
      <c r="C15" s="31"/>
      <c r="D15" s="434" t="s">
        <v>430</v>
      </c>
      <c r="E15" s="434"/>
      <c r="F15" s="434"/>
      <c r="G15" s="434"/>
      <c r="H15" s="434"/>
      <c r="I15" s="434"/>
      <c r="J15" s="434"/>
      <c r="K15" s="434"/>
      <c r="L15" s="434"/>
      <c r="M15" s="434"/>
      <c r="O15" s="31"/>
      <c r="P15" s="31"/>
      <c r="Q15" s="434" t="s">
        <v>430</v>
      </c>
      <c r="R15" s="434"/>
      <c r="S15" s="434"/>
      <c r="T15" s="434"/>
      <c r="U15" s="434"/>
      <c r="V15" s="434"/>
      <c r="W15" s="434"/>
      <c r="X15" s="434"/>
      <c r="Y15" s="434"/>
      <c r="Z15" s="434"/>
    </row>
    <row r="16" spans="2:26" s="8" customFormat="1" x14ac:dyDescent="0.3">
      <c r="C16" s="31"/>
      <c r="D16" s="434"/>
      <c r="E16" s="434"/>
      <c r="F16" s="434"/>
      <c r="G16" s="434"/>
      <c r="H16" s="434"/>
      <c r="I16" s="434"/>
      <c r="J16" s="434"/>
      <c r="K16" s="434"/>
      <c r="L16" s="434"/>
      <c r="M16" s="434"/>
      <c r="O16" s="31"/>
      <c r="P16" s="31"/>
      <c r="Q16" s="434"/>
      <c r="R16" s="434"/>
      <c r="S16" s="434"/>
      <c r="T16" s="434"/>
      <c r="U16" s="434"/>
      <c r="V16" s="434"/>
      <c r="W16" s="434"/>
      <c r="X16" s="434"/>
      <c r="Y16" s="434"/>
      <c r="Z16" s="434"/>
    </row>
    <row r="17" spans="2:26" s="8" customFormat="1" x14ac:dyDescent="0.3">
      <c r="C17" s="31"/>
      <c r="D17" s="335"/>
      <c r="E17" s="335"/>
      <c r="F17" s="335"/>
      <c r="G17" s="335"/>
      <c r="H17" s="335"/>
      <c r="I17" s="335"/>
      <c r="J17" s="335"/>
      <c r="K17" s="335"/>
      <c r="L17" s="335"/>
      <c r="M17" s="335"/>
      <c r="O17" s="31"/>
      <c r="P17" s="31"/>
      <c r="Q17" s="335"/>
      <c r="R17" s="335"/>
      <c r="S17" s="335"/>
      <c r="T17" s="335"/>
      <c r="U17" s="335"/>
      <c r="V17" s="335"/>
      <c r="W17" s="335"/>
      <c r="X17" s="335"/>
      <c r="Y17" s="335"/>
      <c r="Z17" s="335"/>
    </row>
    <row r="18" spans="2:26" s="8" customFormat="1" ht="47.25" customHeight="1" x14ac:dyDescent="0.3">
      <c r="C18" s="31"/>
      <c r="D18" s="434" t="s">
        <v>490</v>
      </c>
      <c r="E18" s="434"/>
      <c r="F18" s="434"/>
      <c r="G18" s="434"/>
      <c r="H18" s="434"/>
      <c r="I18" s="434"/>
      <c r="J18" s="434"/>
      <c r="K18" s="434"/>
      <c r="L18" s="434"/>
      <c r="M18" s="434"/>
      <c r="O18" s="31"/>
      <c r="P18" s="31"/>
      <c r="Q18" s="434" t="s">
        <v>490</v>
      </c>
      <c r="R18" s="434"/>
      <c r="S18" s="434"/>
      <c r="T18" s="434"/>
      <c r="U18" s="434"/>
      <c r="V18" s="434"/>
      <c r="W18" s="434"/>
      <c r="X18" s="434"/>
      <c r="Y18" s="434"/>
      <c r="Z18" s="434"/>
    </row>
    <row r="19" spans="2:26" s="8" customFormat="1" x14ac:dyDescent="0.3">
      <c r="C19" s="31"/>
      <c r="D19" s="335"/>
      <c r="E19" s="335"/>
      <c r="F19" s="335"/>
      <c r="G19" s="335"/>
      <c r="H19" s="335"/>
      <c r="I19" s="335"/>
      <c r="J19" s="335"/>
      <c r="K19" s="335"/>
      <c r="L19" s="335"/>
      <c r="M19" s="335"/>
      <c r="O19" s="31"/>
      <c r="P19" s="31"/>
      <c r="Q19" s="335"/>
      <c r="R19" s="335"/>
      <c r="S19" s="335"/>
      <c r="T19" s="335"/>
      <c r="U19" s="335"/>
      <c r="V19" s="335"/>
      <c r="W19" s="335"/>
      <c r="X19" s="335"/>
      <c r="Y19" s="335"/>
      <c r="Z19" s="335"/>
    </row>
    <row r="20" spans="2:26" s="8" customFormat="1" x14ac:dyDescent="0.3">
      <c r="C20" s="31"/>
      <c r="D20" s="335"/>
      <c r="E20" s="335"/>
      <c r="F20" s="335"/>
      <c r="G20" s="335"/>
      <c r="H20" s="335"/>
      <c r="I20" s="335"/>
      <c r="J20" s="335"/>
      <c r="K20" s="168" t="s">
        <v>531</v>
      </c>
      <c r="L20" s="341">
        <f>IF(F28="",AVERAGE(L22,L30,L38,L47,L55,L64,L72,L80,L88,L96),"ERROR")</f>
        <v>0</v>
      </c>
      <c r="M20" s="335"/>
      <c r="O20" s="31"/>
      <c r="P20" s="31"/>
      <c r="Q20" s="335"/>
      <c r="R20" s="335"/>
      <c r="S20" s="335"/>
      <c r="T20" s="335"/>
      <c r="U20" s="335"/>
      <c r="V20" s="335"/>
      <c r="W20" s="335"/>
      <c r="X20" s="168" t="s">
        <v>531</v>
      </c>
      <c r="Y20" s="341">
        <f>IF(S28="",AVERAGE(Y22,Y30,Y38,Y47,Y55,Y64,Y72,Y80,Y88,Y96),"ERROR")</f>
        <v>0</v>
      </c>
      <c r="Z20" s="335"/>
    </row>
    <row r="21" spans="2:26" s="8" customFormat="1" x14ac:dyDescent="0.3">
      <c r="C21" s="31"/>
      <c r="D21" s="1"/>
      <c r="O21" s="31"/>
      <c r="P21" s="31"/>
      <c r="Q21" s="1"/>
    </row>
    <row r="22" spans="2:26" s="8" customFormat="1" x14ac:dyDescent="0.3">
      <c r="B22" s="31"/>
      <c r="C22" s="31"/>
      <c r="G22" s="56" t="s">
        <v>124</v>
      </c>
      <c r="H22" s="564"/>
      <c r="I22" s="565"/>
      <c r="J22" s="1"/>
      <c r="K22" s="56" t="s">
        <v>360</v>
      </c>
      <c r="L22" s="341">
        <f>SUM(L24:L28)</f>
        <v>0</v>
      </c>
      <c r="O22" s="31"/>
      <c r="P22" s="31"/>
      <c r="T22" s="56" t="s">
        <v>124</v>
      </c>
      <c r="U22" s="561"/>
      <c r="V22" s="562"/>
      <c r="W22" s="1"/>
      <c r="X22" s="56" t="s">
        <v>360</v>
      </c>
      <c r="Y22" s="341">
        <f>SUM(Y24:Y28)</f>
        <v>0</v>
      </c>
    </row>
    <row r="23" spans="2:26" s="8" customFormat="1" x14ac:dyDescent="0.3">
      <c r="B23" s="31"/>
      <c r="C23" s="31"/>
      <c r="J23" s="1"/>
      <c r="K23" s="56"/>
      <c r="L23" s="1"/>
      <c r="O23" s="31"/>
      <c r="P23" s="31"/>
      <c r="W23" s="1"/>
      <c r="X23" s="56"/>
      <c r="Y23" s="1"/>
    </row>
    <row r="24" spans="2:26" x14ac:dyDescent="0.3">
      <c r="E24" s="178"/>
      <c r="G24" s="56" t="s">
        <v>429</v>
      </c>
      <c r="H24" s="32"/>
      <c r="I24" s="8"/>
      <c r="K24" s="243" t="s">
        <v>355</v>
      </c>
      <c r="L24" s="32"/>
      <c r="M24"/>
      <c r="N24"/>
      <c r="O24"/>
      <c r="P24"/>
      <c r="R24" s="178"/>
      <c r="T24" s="56" t="s">
        <v>429</v>
      </c>
      <c r="U24" s="82"/>
      <c r="V24" s="8"/>
      <c r="X24" s="243" t="s">
        <v>355</v>
      </c>
      <c r="Y24" s="82"/>
      <c r="Z24"/>
    </row>
    <row r="25" spans="2:26" x14ac:dyDescent="0.3">
      <c r="D25" s="9"/>
      <c r="E25" s="9"/>
      <c r="G25" s="8"/>
      <c r="H25" s="8"/>
      <c r="I25" s="8"/>
      <c r="J25" s="8"/>
      <c r="K25" s="243" t="s">
        <v>356</v>
      </c>
      <c r="L25" s="32"/>
      <c r="Q25" s="9"/>
      <c r="R25" s="9"/>
      <c r="T25" s="8"/>
      <c r="U25" s="8"/>
      <c r="V25" s="8"/>
      <c r="W25" s="8"/>
      <c r="X25" s="243" t="s">
        <v>356</v>
      </c>
      <c r="Y25" s="82"/>
    </row>
    <row r="26" spans="2:26" x14ac:dyDescent="0.3">
      <c r="F26" s="567" t="str">
        <f>IF(H24="Yes","Provide additional Census tract information below","")</f>
        <v/>
      </c>
      <c r="G26" s="567"/>
      <c r="H26" s="567"/>
      <c r="I26" s="567"/>
      <c r="J26" s="567"/>
      <c r="K26" s="243" t="s">
        <v>357</v>
      </c>
      <c r="L26" s="32"/>
      <c r="S26" s="567" t="str">
        <f>IF(U24="Yes","Provide additional Census tract information below","")</f>
        <v/>
      </c>
      <c r="T26" s="567"/>
      <c r="U26" s="567"/>
      <c r="V26" s="567"/>
      <c r="W26" s="567"/>
      <c r="X26" s="243" t="s">
        <v>357</v>
      </c>
      <c r="Y26" s="82"/>
    </row>
    <row r="27" spans="2:26" x14ac:dyDescent="0.3">
      <c r="B27" s="31"/>
      <c r="G27" s="8"/>
      <c r="H27" s="8"/>
      <c r="I27" s="8"/>
      <c r="J27" s="8"/>
      <c r="K27" s="243" t="s">
        <v>358</v>
      </c>
      <c r="L27" s="32"/>
      <c r="T27" s="8"/>
      <c r="U27" s="8"/>
      <c r="V27" s="8"/>
      <c r="W27" s="8"/>
      <c r="X27" s="243" t="s">
        <v>358</v>
      </c>
      <c r="Y27" s="82"/>
    </row>
    <row r="28" spans="2:26" x14ac:dyDescent="0.3">
      <c r="F28" s="534" t="str">
        <f>IF(OR(AND(L22&lt;&gt;0,H22=""),AND(L30&lt;&gt;"",H30=""),AND(L38&lt;&gt;"",H38=""),AND(L47&lt;&gt;"",H47=""),AND(L55&lt;&gt;"",H55=""),AND(L64&lt;&gt;"",H64=""),AND(L72&lt;&gt;"",H72=""),AND(L80&lt;&gt;"",H80=""),AND(L88&lt;&gt;"",H88=""),AND(L96&lt;&gt;"",H96="")),"ERROR: ENTER 11-DIGIT CENSUS TRACT NUMBER FOR ALL TRACTS","")</f>
        <v/>
      </c>
      <c r="G28" s="534"/>
      <c r="H28" s="534"/>
      <c r="I28" s="534"/>
      <c r="J28" s="534"/>
      <c r="K28" s="56" t="s">
        <v>359</v>
      </c>
      <c r="L28" s="32"/>
      <c r="S28" s="534" t="str">
        <f>IF(OR(AND(Y22&lt;&gt;0,U22=""),AND(Y30&lt;&gt;"",U30=""),AND(Y38&lt;&gt;"",U38=""),AND(Y47&lt;&gt;"",U47=""),AND(Y55&lt;&gt;"",U55=""),AND(Y64&lt;&gt;"",U64=""),AND(Y72&lt;&gt;"",U72=""),AND(Y80&lt;&gt;"",U80=""),AND(Y88&lt;&gt;"",U88=""),AND(Y96&lt;&gt;"",U96="")),"ERROR: ENTER 11-DIGIT CENSUS TRACT NUMBER FOR ALL TRACTS","")</f>
        <v/>
      </c>
      <c r="T28" s="534"/>
      <c r="U28" s="534"/>
      <c r="V28" s="534"/>
      <c r="W28" s="534"/>
      <c r="X28" s="56" t="s">
        <v>359</v>
      </c>
      <c r="Y28" s="82"/>
    </row>
    <row r="29" spans="2:26" x14ac:dyDescent="0.3">
      <c r="K29" s="56"/>
      <c r="X29" s="56"/>
    </row>
    <row r="30" spans="2:26" x14ac:dyDescent="0.3">
      <c r="G30" s="56" t="str">
        <f>IF($H$24="Yes","Census Tract Number (11-digit FIPS code):","")</f>
        <v/>
      </c>
      <c r="H30" s="563"/>
      <c r="I30" s="563"/>
      <c r="K30" s="56" t="str">
        <f>IF($H$24="Yes","Overall Score:","")</f>
        <v/>
      </c>
      <c r="L30" s="230" t="str">
        <f>IF(SUM(L32:L36)&lt;&gt;0,SUM(L32:L36),"")</f>
        <v/>
      </c>
      <c r="T30" s="56" t="str">
        <f>IF($U$24="Yes","Census Tract Number (11-digit FIPS code):","")</f>
        <v/>
      </c>
      <c r="U30" s="566"/>
      <c r="V30" s="566"/>
      <c r="X30" s="56" t="str">
        <f>IF($U$24="Yes","Overall Score:","")</f>
        <v/>
      </c>
      <c r="Y30" s="230" t="str">
        <f>IF(SUM(Y32:Y36)&lt;&gt;0,SUM(Y32:Y36),"")</f>
        <v/>
      </c>
    </row>
    <row r="31" spans="2:26" x14ac:dyDescent="0.3">
      <c r="D31" s="8"/>
      <c r="E31" s="8"/>
      <c r="G31" s="8"/>
      <c r="H31" s="8"/>
      <c r="I31" s="8"/>
      <c r="K31" s="56"/>
      <c r="M31" s="8"/>
      <c r="Q31" s="8"/>
      <c r="R31" s="8"/>
      <c r="T31" s="8"/>
      <c r="U31" s="8"/>
      <c r="V31" s="8"/>
      <c r="X31" s="56"/>
      <c r="Z31" s="8"/>
    </row>
    <row r="32" spans="2:26" x14ac:dyDescent="0.3">
      <c r="E32" s="178"/>
      <c r="G32" s="56"/>
      <c r="H32" s="373"/>
      <c r="I32" s="8"/>
      <c r="K32" s="243" t="str">
        <f>IF($H$24="Yes","Connectivity:","")</f>
        <v/>
      </c>
      <c r="L32" s="348"/>
      <c r="M32"/>
      <c r="R32" s="178"/>
      <c r="T32" s="56"/>
      <c r="U32" s="373"/>
      <c r="V32" s="8"/>
      <c r="X32" s="243" t="str">
        <f>IF($U$24="Yes","Connectivity:","")</f>
        <v/>
      </c>
      <c r="Y32" s="373"/>
      <c r="Z32"/>
    </row>
    <row r="33" spans="4:26" x14ac:dyDescent="0.3">
      <c r="D33" s="9"/>
      <c r="E33" s="9"/>
      <c r="G33" s="8"/>
      <c r="H33" s="8"/>
      <c r="I33" s="8"/>
      <c r="J33" s="8"/>
      <c r="K33" s="243" t="str">
        <f>IF($H$24="Yes","Education:","")</f>
        <v/>
      </c>
      <c r="L33" s="348"/>
      <c r="Q33" s="9"/>
      <c r="R33" s="9"/>
      <c r="T33" s="8"/>
      <c r="U33" s="8"/>
      <c r="V33" s="8"/>
      <c r="W33" s="8"/>
      <c r="X33" s="243" t="str">
        <f>IF($U$24="Yes","Education:","")</f>
        <v/>
      </c>
      <c r="Y33" s="373"/>
    </row>
    <row r="34" spans="4:26" x14ac:dyDescent="0.3">
      <c r="G34" s="8"/>
      <c r="H34" s="8"/>
      <c r="I34" s="8"/>
      <c r="J34" s="8"/>
      <c r="K34" s="243" t="str">
        <f>IF($H$24="Yes","Health:","")</f>
        <v/>
      </c>
      <c r="L34" s="348"/>
      <c r="T34" s="8"/>
      <c r="U34" s="8"/>
      <c r="V34" s="8"/>
      <c r="W34" s="8"/>
      <c r="X34" s="243" t="str">
        <f>IF($U$24="Yes","Health:","")</f>
        <v/>
      </c>
      <c r="Y34" s="373"/>
    </row>
    <row r="35" spans="4:26" x14ac:dyDescent="0.3">
      <c r="G35" s="8"/>
      <c r="H35" s="8"/>
      <c r="I35" s="8"/>
      <c r="J35" s="8"/>
      <c r="K35" s="243" t="str">
        <f>IF($H$24="Yes","Housing:","")</f>
        <v/>
      </c>
      <c r="L35" s="348"/>
      <c r="T35" s="8"/>
      <c r="U35" s="8"/>
      <c r="V35" s="8"/>
      <c r="W35" s="8"/>
      <c r="X35" s="243" t="str">
        <f>IF($U$24="Yes","Housing:","")</f>
        <v/>
      </c>
      <c r="Y35" s="373"/>
    </row>
    <row r="36" spans="4:26" x14ac:dyDescent="0.3">
      <c r="I36"/>
      <c r="J36"/>
      <c r="K36" s="56" t="str">
        <f>IF($H$24="Yes","Prosperity:","")</f>
        <v/>
      </c>
      <c r="L36" s="348"/>
      <c r="V36"/>
      <c r="W36"/>
      <c r="X36" s="56" t="str">
        <f>IF($U$24="Yes","Prosperity:","")</f>
        <v/>
      </c>
      <c r="Y36" s="373"/>
    </row>
    <row r="37" spans="4:26" x14ac:dyDescent="0.3">
      <c r="K37" s="56"/>
      <c r="X37" s="56"/>
    </row>
    <row r="38" spans="4:26" x14ac:dyDescent="0.3">
      <c r="G38" s="56" t="str">
        <f>IF($H$24="Yes","Census Tract Number (11-digit FIPS code):","")</f>
        <v/>
      </c>
      <c r="H38" s="563"/>
      <c r="I38" s="563"/>
      <c r="K38" s="56" t="str">
        <f>IF($H$24="Yes","Overall Score:","")</f>
        <v/>
      </c>
      <c r="L38" s="230" t="str">
        <f>IF(SUM(L40:L44)&lt;&gt;0,SUM(L40:L44),"")</f>
        <v/>
      </c>
      <c r="T38" s="56" t="str">
        <f>IF($U$24="Yes","Census Tract Number (11-digit FIPS code):","")</f>
        <v/>
      </c>
      <c r="U38" s="566"/>
      <c r="V38" s="566"/>
      <c r="X38" s="56" t="str">
        <f>IF($U$24="Yes","Overall Score:","")</f>
        <v/>
      </c>
      <c r="Y38" s="230" t="str">
        <f>IF(SUM(Y40:Y44)&lt;&gt;0,SUM(Y40:Y44),"")</f>
        <v/>
      </c>
    </row>
    <row r="39" spans="4:26" x14ac:dyDescent="0.3">
      <c r="D39" s="8"/>
      <c r="E39" s="8"/>
      <c r="G39" s="8"/>
      <c r="H39" s="8"/>
      <c r="I39" s="8"/>
      <c r="K39" s="56"/>
      <c r="M39" s="8"/>
      <c r="Q39" s="8"/>
      <c r="R39" s="8"/>
      <c r="T39" s="8"/>
      <c r="U39" s="8"/>
      <c r="V39" s="8"/>
      <c r="X39" s="56"/>
      <c r="Z39" s="8"/>
    </row>
    <row r="40" spans="4:26" x14ac:dyDescent="0.3">
      <c r="E40" s="178"/>
      <c r="G40" s="56"/>
      <c r="H40" s="373"/>
      <c r="I40" s="8"/>
      <c r="K40" s="243" t="str">
        <f>IF($H$24="Yes","Connectivity:","")</f>
        <v/>
      </c>
      <c r="L40" s="348"/>
      <c r="M40"/>
      <c r="R40" s="178"/>
      <c r="T40" s="56"/>
      <c r="U40" s="373"/>
      <c r="V40" s="8"/>
      <c r="X40" s="243" t="str">
        <f>IF($U$24="Yes","Connectivity:","")</f>
        <v/>
      </c>
      <c r="Y40" s="373"/>
      <c r="Z40"/>
    </row>
    <row r="41" spans="4:26" x14ac:dyDescent="0.3">
      <c r="D41" s="9"/>
      <c r="E41" s="9"/>
      <c r="G41" s="8"/>
      <c r="H41" s="8"/>
      <c r="I41" s="8"/>
      <c r="J41" s="8"/>
      <c r="K41" s="243" t="str">
        <f>IF($H$24="Yes","Education:","")</f>
        <v/>
      </c>
      <c r="L41" s="348"/>
      <c r="Q41" s="9"/>
      <c r="R41" s="9"/>
      <c r="T41" s="8"/>
      <c r="U41" s="8"/>
      <c r="V41" s="8"/>
      <c r="W41" s="8"/>
      <c r="X41" s="243" t="str">
        <f>IF($U$24="Yes","Education:","")</f>
        <v/>
      </c>
      <c r="Y41" s="373"/>
    </row>
    <row r="42" spans="4:26" x14ac:dyDescent="0.3">
      <c r="G42" s="8"/>
      <c r="H42" s="8"/>
      <c r="I42" s="8"/>
      <c r="J42" s="8"/>
      <c r="K42" s="243" t="str">
        <f>IF($H$24="Yes","Health:","")</f>
        <v/>
      </c>
      <c r="L42" s="348"/>
      <c r="T42" s="8"/>
      <c r="U42" s="8"/>
      <c r="V42" s="8"/>
      <c r="W42" s="8"/>
      <c r="X42" s="243" t="str">
        <f>IF($U$24="Yes","Health:","")</f>
        <v/>
      </c>
      <c r="Y42" s="373"/>
    </row>
    <row r="43" spans="4:26" x14ac:dyDescent="0.3">
      <c r="G43" s="8"/>
      <c r="H43" s="8"/>
      <c r="I43" s="8"/>
      <c r="J43" s="8"/>
      <c r="K43" s="243" t="str">
        <f>IF($H$24="Yes","Housing:","")</f>
        <v/>
      </c>
      <c r="L43" s="348"/>
      <c r="T43" s="8"/>
      <c r="U43" s="8"/>
      <c r="V43" s="8"/>
      <c r="W43" s="8"/>
      <c r="X43" s="243" t="str">
        <f>IF($U$24="Yes","Housing:","")</f>
        <v/>
      </c>
      <c r="Y43" s="373"/>
    </row>
    <row r="44" spans="4:26" x14ac:dyDescent="0.3">
      <c r="I44"/>
      <c r="J44"/>
      <c r="K44" s="56" t="str">
        <f>IF($H$24="Yes","Prosperity:","")</f>
        <v/>
      </c>
      <c r="L44" s="348"/>
      <c r="V44"/>
      <c r="W44"/>
      <c r="X44" s="56" t="str">
        <f>IF($U$24="Yes","Prosperity:","")</f>
        <v/>
      </c>
      <c r="Y44" s="373"/>
    </row>
    <row r="45" spans="4:26" x14ac:dyDescent="0.3">
      <c r="K45" s="56"/>
      <c r="X45" s="56"/>
    </row>
    <row r="46" spans="4:26" x14ac:dyDescent="0.3">
      <c r="K46" s="56"/>
      <c r="X46" s="56"/>
    </row>
    <row r="47" spans="4:26" x14ac:dyDescent="0.3">
      <c r="G47" s="56" t="str">
        <f>IF($H$24="Yes","Census Tract Number (11-digit FIPS code):","")</f>
        <v/>
      </c>
      <c r="H47" s="563"/>
      <c r="I47" s="563"/>
      <c r="K47" s="56" t="str">
        <f>IF($H$24="Yes","Overall Score:","")</f>
        <v/>
      </c>
      <c r="L47" s="230" t="str">
        <f>IF(SUM(L49:L53)&lt;&gt;0,SUM(L49:L53),"")</f>
        <v/>
      </c>
      <c r="T47" s="56" t="str">
        <f>IF($U$24="Yes","Census Tract Number (11-digit FIPS code):","")</f>
        <v/>
      </c>
      <c r="U47" s="566"/>
      <c r="V47" s="566"/>
      <c r="X47" s="56" t="str">
        <f>IF($U$24="Yes","Overall Score:","")</f>
        <v/>
      </c>
      <c r="Y47" s="230" t="str">
        <f>IF(SUM(Y49:Y53)&lt;&gt;0,SUM(Y49:Y53),"")</f>
        <v/>
      </c>
    </row>
    <row r="48" spans="4:26" x14ac:dyDescent="0.3">
      <c r="D48" s="8"/>
      <c r="E48" s="8"/>
      <c r="G48" s="8"/>
      <c r="H48" s="8"/>
      <c r="I48" s="8"/>
      <c r="K48" s="56"/>
      <c r="M48" s="8"/>
      <c r="Q48" s="8"/>
      <c r="R48" s="8"/>
      <c r="T48" s="8"/>
      <c r="U48" s="8"/>
      <c r="V48" s="8"/>
      <c r="X48" s="56"/>
      <c r="Z48" s="8"/>
    </row>
    <row r="49" spans="4:26" x14ac:dyDescent="0.3">
      <c r="E49" s="178"/>
      <c r="G49" s="56"/>
      <c r="H49" s="373"/>
      <c r="I49" s="8"/>
      <c r="K49" s="243" t="str">
        <f>IF($H$24="Yes","Connectivity:","")</f>
        <v/>
      </c>
      <c r="L49" s="348"/>
      <c r="M49"/>
      <c r="R49" s="178"/>
      <c r="T49" s="56"/>
      <c r="U49" s="373"/>
      <c r="V49" s="8"/>
      <c r="X49" s="243" t="str">
        <f>IF($U$24="Yes","Connectivity:","")</f>
        <v/>
      </c>
      <c r="Y49" s="373"/>
      <c r="Z49"/>
    </row>
    <row r="50" spans="4:26" x14ac:dyDescent="0.3">
      <c r="D50" s="9"/>
      <c r="E50" s="9"/>
      <c r="G50" s="8"/>
      <c r="H50" s="8"/>
      <c r="I50" s="8"/>
      <c r="J50" s="8"/>
      <c r="K50" s="243" t="str">
        <f>IF($H$24="Yes","Education:","")</f>
        <v/>
      </c>
      <c r="L50" s="348"/>
      <c r="Q50" s="9"/>
      <c r="R50" s="9"/>
      <c r="T50" s="8"/>
      <c r="U50" s="8"/>
      <c r="V50" s="8"/>
      <c r="W50" s="8"/>
      <c r="X50" s="243" t="str">
        <f>IF($U$24="Yes","Education:","")</f>
        <v/>
      </c>
      <c r="Y50" s="373"/>
    </row>
    <row r="51" spans="4:26" x14ac:dyDescent="0.3">
      <c r="G51" s="8"/>
      <c r="H51" s="8"/>
      <c r="I51" s="8"/>
      <c r="J51" s="8"/>
      <c r="K51" s="243" t="str">
        <f>IF($H$24="Yes","Health:","")</f>
        <v/>
      </c>
      <c r="L51" s="348"/>
      <c r="T51" s="8"/>
      <c r="U51" s="8"/>
      <c r="V51" s="8"/>
      <c r="W51" s="8"/>
      <c r="X51" s="243" t="str">
        <f>IF($U$24="Yes","Health:","")</f>
        <v/>
      </c>
      <c r="Y51" s="373"/>
    </row>
    <row r="52" spans="4:26" x14ac:dyDescent="0.3">
      <c r="G52" s="8"/>
      <c r="H52" s="8"/>
      <c r="I52" s="8"/>
      <c r="J52" s="8"/>
      <c r="K52" s="243" t="str">
        <f>IF($H$24="Yes","Housing:","")</f>
        <v/>
      </c>
      <c r="L52" s="348"/>
      <c r="T52" s="8"/>
      <c r="U52" s="8"/>
      <c r="V52" s="8"/>
      <c r="W52" s="8"/>
      <c r="X52" s="243" t="str">
        <f>IF($U$24="Yes","Housing:","")</f>
        <v/>
      </c>
      <c r="Y52" s="373"/>
    </row>
    <row r="53" spans="4:26" x14ac:dyDescent="0.3">
      <c r="I53"/>
      <c r="J53"/>
      <c r="K53" s="56" t="str">
        <f>IF($H$24="Yes","Prosperity:","")</f>
        <v/>
      </c>
      <c r="L53" s="348"/>
      <c r="V53"/>
      <c r="W53"/>
      <c r="X53" s="56" t="str">
        <f>IF($U$24="Yes","Prosperity:","")</f>
        <v/>
      </c>
      <c r="Y53" s="373"/>
    </row>
    <row r="54" spans="4:26" x14ac:dyDescent="0.3">
      <c r="K54" s="56"/>
      <c r="X54" s="56"/>
    </row>
    <row r="55" spans="4:26" x14ac:dyDescent="0.3">
      <c r="G55" s="56" t="str">
        <f>IF($H$24="Yes","Census Tract Number (11-digit FIPS code):","")</f>
        <v/>
      </c>
      <c r="H55" s="563"/>
      <c r="I55" s="563"/>
      <c r="K55" s="56" t="str">
        <f>IF($H$24="Yes","Overall Score:","")</f>
        <v/>
      </c>
      <c r="L55" s="230" t="str">
        <f>IF(SUM(L57:L61)&lt;&gt;0,SUM(L57:L61),"")</f>
        <v/>
      </c>
      <c r="T55" s="56" t="str">
        <f>IF($U$24="Yes","Census Tract Number (11-digit FIPS code):","")</f>
        <v/>
      </c>
      <c r="U55" s="566"/>
      <c r="V55" s="566"/>
      <c r="X55" s="56" t="str">
        <f>IF($U$24="Yes","Overall Score:","")</f>
        <v/>
      </c>
      <c r="Y55" s="230" t="str">
        <f>IF(SUM(Y57:Y61)&lt;&gt;0,SUM(Y57:Y61),"")</f>
        <v/>
      </c>
    </row>
    <row r="56" spans="4:26" x14ac:dyDescent="0.3">
      <c r="D56" s="8"/>
      <c r="E56" s="8"/>
      <c r="G56" s="8"/>
      <c r="H56" s="8"/>
      <c r="I56" s="8"/>
      <c r="K56" s="56"/>
      <c r="M56" s="8"/>
      <c r="Q56" s="8"/>
      <c r="R56" s="8"/>
      <c r="T56" s="8"/>
      <c r="U56" s="8"/>
      <c r="V56" s="8"/>
      <c r="X56" s="56"/>
      <c r="Z56" s="8"/>
    </row>
    <row r="57" spans="4:26" x14ac:dyDescent="0.3">
      <c r="E57" s="178"/>
      <c r="G57" s="56"/>
      <c r="H57" s="373"/>
      <c r="I57" s="8"/>
      <c r="K57" s="243" t="str">
        <f>IF($H$24="Yes","Connectivity:","")</f>
        <v/>
      </c>
      <c r="L57" s="348"/>
      <c r="M57"/>
      <c r="R57" s="178"/>
      <c r="T57" s="56"/>
      <c r="U57" s="373"/>
      <c r="V57" s="8"/>
      <c r="X57" s="243" t="str">
        <f>IF($U$24="Yes","Connectivity:","")</f>
        <v/>
      </c>
      <c r="Y57" s="373"/>
      <c r="Z57"/>
    </row>
    <row r="58" spans="4:26" x14ac:dyDescent="0.3">
      <c r="D58" s="9"/>
      <c r="E58" s="9"/>
      <c r="G58" s="8"/>
      <c r="H58" s="8"/>
      <c r="I58" s="8"/>
      <c r="J58" s="8"/>
      <c r="K58" s="243" t="str">
        <f>IF($H$24="Yes","Education:","")</f>
        <v/>
      </c>
      <c r="L58" s="348"/>
      <c r="Q58" s="9"/>
      <c r="R58" s="9"/>
      <c r="T58" s="8"/>
      <c r="U58" s="8"/>
      <c r="V58" s="8"/>
      <c r="W58" s="8"/>
      <c r="X58" s="243" t="str">
        <f>IF($U$24="Yes","Education:","")</f>
        <v/>
      </c>
      <c r="Y58" s="373"/>
    </row>
    <row r="59" spans="4:26" x14ac:dyDescent="0.3">
      <c r="G59" s="8"/>
      <c r="H59" s="8"/>
      <c r="I59" s="8"/>
      <c r="J59" s="8"/>
      <c r="K59" s="243" t="str">
        <f>IF($H$24="Yes","Health:","")</f>
        <v/>
      </c>
      <c r="L59" s="348"/>
      <c r="T59" s="8"/>
      <c r="U59" s="8"/>
      <c r="V59" s="8"/>
      <c r="W59" s="8"/>
      <c r="X59" s="243" t="str">
        <f>IF($U$24="Yes","Health:","")</f>
        <v/>
      </c>
      <c r="Y59" s="373"/>
    </row>
    <row r="60" spans="4:26" x14ac:dyDescent="0.3">
      <c r="G60" s="8"/>
      <c r="H60" s="8"/>
      <c r="I60" s="8"/>
      <c r="J60" s="8"/>
      <c r="K60" s="243" t="str">
        <f>IF($H$24="Yes","Housing:","")</f>
        <v/>
      </c>
      <c r="L60" s="348"/>
      <c r="T60" s="8"/>
      <c r="U60" s="8"/>
      <c r="V60" s="8"/>
      <c r="W60" s="8"/>
      <c r="X60" s="243" t="str">
        <f>IF($U$24="Yes","Housing:","")</f>
        <v/>
      </c>
      <c r="Y60" s="373"/>
    </row>
    <row r="61" spans="4:26" x14ac:dyDescent="0.3">
      <c r="I61"/>
      <c r="J61"/>
      <c r="K61" s="56" t="str">
        <f>IF($H$24="Yes","Prosperity:","")</f>
        <v/>
      </c>
      <c r="L61" s="348"/>
      <c r="V61"/>
      <c r="W61"/>
      <c r="X61" s="56" t="str">
        <f>IF($U$24="Yes","Prosperity:","")</f>
        <v/>
      </c>
      <c r="Y61" s="373"/>
    </row>
    <row r="62" spans="4:26" x14ac:dyDescent="0.3">
      <c r="K62" s="56"/>
      <c r="X62" s="56"/>
    </row>
    <row r="63" spans="4:26" x14ac:dyDescent="0.3">
      <c r="K63" s="56"/>
      <c r="X63" s="56"/>
    </row>
    <row r="64" spans="4:26" x14ac:dyDescent="0.3">
      <c r="G64" s="56" t="str">
        <f>IF($H$24="Yes","Census Tract Number (11-digit FIPS code):","")</f>
        <v/>
      </c>
      <c r="H64" s="563"/>
      <c r="I64" s="563"/>
      <c r="K64" s="56" t="str">
        <f>IF($H$24="Yes","Overall Score:","")</f>
        <v/>
      </c>
      <c r="L64" s="230" t="str">
        <f>IF(SUM(L66:L70)&lt;&gt;0,SUM(L66:L70),"")</f>
        <v/>
      </c>
      <c r="T64" s="56" t="str">
        <f>IF($U$24="Yes","Census Tract Number (11-digit FIPS code):","")</f>
        <v/>
      </c>
      <c r="U64" s="566"/>
      <c r="V64" s="566"/>
      <c r="X64" s="56" t="str">
        <f>IF($U$24="Yes","Overall Score:","")</f>
        <v/>
      </c>
      <c r="Y64" s="230" t="str">
        <f>IF(SUM(Y66:Y70)&lt;&gt;0,SUM(Y66:Y70),"")</f>
        <v/>
      </c>
    </row>
    <row r="65" spans="4:26" x14ac:dyDescent="0.3">
      <c r="D65" s="8"/>
      <c r="E65" s="8"/>
      <c r="G65" s="8"/>
      <c r="H65" s="8"/>
      <c r="I65" s="8"/>
      <c r="K65" s="56"/>
      <c r="M65" s="8"/>
      <c r="Q65" s="8"/>
      <c r="R65" s="8"/>
      <c r="T65" s="8"/>
      <c r="U65" s="8"/>
      <c r="V65" s="8"/>
      <c r="X65" s="56"/>
      <c r="Z65" s="8"/>
    </row>
    <row r="66" spans="4:26" x14ac:dyDescent="0.3">
      <c r="E66" s="178"/>
      <c r="G66" s="56"/>
      <c r="H66" s="373"/>
      <c r="I66" s="8"/>
      <c r="K66" s="243" t="str">
        <f>IF($H$24="Yes","Connectivity:","")</f>
        <v/>
      </c>
      <c r="L66" s="348"/>
      <c r="M66"/>
      <c r="R66" s="178"/>
      <c r="T66" s="56"/>
      <c r="U66" s="373"/>
      <c r="V66" s="8"/>
      <c r="X66" s="243" t="str">
        <f>IF($U$24="Yes","Connectivity:","")</f>
        <v/>
      </c>
      <c r="Y66" s="373"/>
      <c r="Z66"/>
    </row>
    <row r="67" spans="4:26" x14ac:dyDescent="0.3">
      <c r="D67" s="9"/>
      <c r="E67" s="9"/>
      <c r="G67" s="8"/>
      <c r="H67" s="8"/>
      <c r="I67" s="8"/>
      <c r="J67" s="8"/>
      <c r="K67" s="243" t="str">
        <f>IF($H$24="Yes","Education:","")</f>
        <v/>
      </c>
      <c r="L67" s="348"/>
      <c r="Q67" s="9"/>
      <c r="R67" s="9"/>
      <c r="T67" s="8"/>
      <c r="U67" s="8"/>
      <c r="V67" s="8"/>
      <c r="W67" s="8"/>
      <c r="X67" s="243" t="str">
        <f>IF($U$24="Yes","Education:","")</f>
        <v/>
      </c>
      <c r="Y67" s="373"/>
    </row>
    <row r="68" spans="4:26" x14ac:dyDescent="0.3">
      <c r="G68" s="8"/>
      <c r="H68" s="8"/>
      <c r="I68" s="8"/>
      <c r="J68" s="8"/>
      <c r="K68" s="243" t="str">
        <f>IF($H$24="Yes","Health:","")</f>
        <v/>
      </c>
      <c r="L68" s="348"/>
      <c r="T68" s="8"/>
      <c r="U68" s="8"/>
      <c r="V68" s="8"/>
      <c r="W68" s="8"/>
      <c r="X68" s="243" t="str">
        <f>IF($U$24="Yes","Health:","")</f>
        <v/>
      </c>
      <c r="Y68" s="373"/>
    </row>
    <row r="69" spans="4:26" x14ac:dyDescent="0.3">
      <c r="G69" s="8"/>
      <c r="H69" s="8"/>
      <c r="I69" s="8"/>
      <c r="J69" s="8"/>
      <c r="K69" s="243" t="str">
        <f>IF($H$24="Yes","Housing:","")</f>
        <v/>
      </c>
      <c r="L69" s="348"/>
      <c r="T69" s="8"/>
      <c r="U69" s="8"/>
      <c r="V69" s="8"/>
      <c r="W69" s="8"/>
      <c r="X69" s="243" t="str">
        <f>IF($U$24="Yes","Housing:","")</f>
        <v/>
      </c>
      <c r="Y69" s="373"/>
    </row>
    <row r="70" spans="4:26" x14ac:dyDescent="0.3">
      <c r="I70"/>
      <c r="J70"/>
      <c r="K70" s="56" t="str">
        <f>IF($H$24="Yes","Prosperity:","")</f>
        <v/>
      </c>
      <c r="L70" s="348"/>
      <c r="V70"/>
      <c r="W70"/>
      <c r="X70" s="56" t="str">
        <f>IF($U$24="Yes","Prosperity:","")</f>
        <v/>
      </c>
      <c r="Y70" s="373"/>
    </row>
    <row r="71" spans="4:26" x14ac:dyDescent="0.3">
      <c r="K71" s="56"/>
      <c r="X71" s="56"/>
    </row>
    <row r="72" spans="4:26" x14ac:dyDescent="0.3">
      <c r="G72" s="56" t="str">
        <f>IF($H$24="Yes","Census Tract Number (11-digit FIPS code):","")</f>
        <v/>
      </c>
      <c r="H72" s="563"/>
      <c r="I72" s="563"/>
      <c r="K72" s="56" t="str">
        <f>IF($H$24="Yes","Overall Score:","")</f>
        <v/>
      </c>
      <c r="L72" s="230" t="str">
        <f>IF(SUM(L74:L78)&lt;&gt;0,SUM(L74:L78),"")</f>
        <v/>
      </c>
      <c r="T72" s="56" t="str">
        <f>IF($U$24="Yes","Census Tract Number (11-digit FIPS code):","")</f>
        <v/>
      </c>
      <c r="U72" s="566"/>
      <c r="V72" s="566"/>
      <c r="X72" s="56" t="str">
        <f>IF($U$24="Yes","Overall Score:","")</f>
        <v/>
      </c>
      <c r="Y72" s="230" t="str">
        <f>IF(SUM(Y74:Y78)&lt;&gt;0,SUM(Y74:Y78),"")</f>
        <v/>
      </c>
    </row>
    <row r="73" spans="4:26" x14ac:dyDescent="0.3">
      <c r="D73" s="8"/>
      <c r="E73" s="8"/>
      <c r="G73" s="8"/>
      <c r="H73" s="8"/>
      <c r="I73" s="8"/>
      <c r="K73" s="56"/>
      <c r="M73" s="8"/>
      <c r="Q73" s="8"/>
      <c r="R73" s="8"/>
      <c r="T73" s="8"/>
      <c r="U73" s="8"/>
      <c r="V73" s="8"/>
      <c r="X73" s="56"/>
      <c r="Z73" s="8"/>
    </row>
    <row r="74" spans="4:26" x14ac:dyDescent="0.3">
      <c r="E74" s="178"/>
      <c r="G74" s="56"/>
      <c r="H74" s="373"/>
      <c r="I74" s="8"/>
      <c r="K74" s="243" t="str">
        <f>IF($H$24="Yes","Connectivity:","")</f>
        <v/>
      </c>
      <c r="L74" s="348"/>
      <c r="M74"/>
      <c r="R74" s="178"/>
      <c r="T74" s="56"/>
      <c r="U74" s="373"/>
      <c r="V74" s="8"/>
      <c r="X74" s="243" t="str">
        <f>IF($U$24="Yes","Connectivity:","")</f>
        <v/>
      </c>
      <c r="Y74" s="373"/>
      <c r="Z74"/>
    </row>
    <row r="75" spans="4:26" x14ac:dyDescent="0.3">
      <c r="D75" s="9"/>
      <c r="E75" s="9"/>
      <c r="G75" s="8"/>
      <c r="H75" s="8"/>
      <c r="I75" s="8"/>
      <c r="J75" s="8"/>
      <c r="K75" s="243" t="str">
        <f>IF($H$24="Yes","Education:","")</f>
        <v/>
      </c>
      <c r="L75" s="348"/>
      <c r="Q75" s="9"/>
      <c r="R75" s="9"/>
      <c r="T75" s="8"/>
      <c r="U75" s="8"/>
      <c r="V75" s="8"/>
      <c r="W75" s="8"/>
      <c r="X75" s="243" t="str">
        <f>IF($U$24="Yes","Education:","")</f>
        <v/>
      </c>
      <c r="Y75" s="373"/>
    </row>
    <row r="76" spans="4:26" x14ac:dyDescent="0.3">
      <c r="G76" s="8"/>
      <c r="H76" s="8"/>
      <c r="I76" s="8"/>
      <c r="J76" s="8"/>
      <c r="K76" s="243" t="str">
        <f>IF($H$24="Yes","Health:","")</f>
        <v/>
      </c>
      <c r="L76" s="348"/>
      <c r="T76" s="8"/>
      <c r="U76" s="8"/>
      <c r="V76" s="8"/>
      <c r="W76" s="8"/>
      <c r="X76" s="243" t="str">
        <f>IF($U$24="Yes","Health:","")</f>
        <v/>
      </c>
      <c r="Y76" s="373"/>
    </row>
    <row r="77" spans="4:26" x14ac:dyDescent="0.3">
      <c r="G77" s="8"/>
      <c r="H77" s="8"/>
      <c r="I77" s="8"/>
      <c r="J77" s="8"/>
      <c r="K77" s="243" t="str">
        <f>IF($H$24="Yes","Housing:","")</f>
        <v/>
      </c>
      <c r="L77" s="348"/>
      <c r="T77" s="8"/>
      <c r="U77" s="8"/>
      <c r="V77" s="8"/>
      <c r="W77" s="8"/>
      <c r="X77" s="243" t="str">
        <f>IF($U$24="Yes","Housing:","")</f>
        <v/>
      </c>
      <c r="Y77" s="373"/>
    </row>
    <row r="78" spans="4:26" x14ac:dyDescent="0.3">
      <c r="I78"/>
      <c r="J78"/>
      <c r="K78" s="56" t="str">
        <f>IF($H$24="Yes","Prosperity:","")</f>
        <v/>
      </c>
      <c r="L78" s="348"/>
      <c r="V78"/>
      <c r="W78"/>
      <c r="X78" s="56" t="str">
        <f>IF($U$24="Yes","Prosperity:","")</f>
        <v/>
      </c>
      <c r="Y78" s="373"/>
    </row>
    <row r="79" spans="4:26" x14ac:dyDescent="0.3">
      <c r="K79" s="56"/>
      <c r="X79" s="56"/>
    </row>
    <row r="80" spans="4:26" x14ac:dyDescent="0.3">
      <c r="G80" s="56" t="str">
        <f>IF($H$24="Yes","Census Tract Number (11-digit FIPS code):","")</f>
        <v/>
      </c>
      <c r="H80" s="563"/>
      <c r="I80" s="563"/>
      <c r="K80" s="56" t="str">
        <f>IF($H$24="Yes","Overall Score:","")</f>
        <v/>
      </c>
      <c r="L80" s="230" t="str">
        <f>IF(SUM(L82:L86)&lt;&gt;0,SUM(L82:L86),"")</f>
        <v/>
      </c>
      <c r="T80" s="56" t="str">
        <f>IF($U$24="Yes","Census Tract Number (11-digit FIPS code):","")</f>
        <v/>
      </c>
      <c r="U80" s="566"/>
      <c r="V80" s="566"/>
      <c r="X80" s="56" t="str">
        <f>IF($U$24="Yes","Overall Score:","")</f>
        <v/>
      </c>
      <c r="Y80" s="230" t="str">
        <f>IF(SUM(Y82:Y86)&lt;&gt;0,SUM(Y82:Y86),"")</f>
        <v/>
      </c>
    </row>
    <row r="81" spans="4:26" x14ac:dyDescent="0.3">
      <c r="D81" s="8"/>
      <c r="E81" s="8"/>
      <c r="G81" s="8"/>
      <c r="H81" s="8"/>
      <c r="I81" s="8"/>
      <c r="K81" s="56"/>
      <c r="M81" s="8"/>
      <c r="Q81" s="8"/>
      <c r="R81" s="8"/>
      <c r="T81" s="8"/>
      <c r="U81" s="8"/>
      <c r="V81" s="8"/>
      <c r="X81" s="56"/>
      <c r="Z81" s="8"/>
    </row>
    <row r="82" spans="4:26" x14ac:dyDescent="0.3">
      <c r="E82" s="178"/>
      <c r="G82" s="56"/>
      <c r="H82" s="373"/>
      <c r="I82" s="8"/>
      <c r="K82" s="243" t="str">
        <f>IF($H$24="Yes","Connectivity:","")</f>
        <v/>
      </c>
      <c r="L82" s="348"/>
      <c r="M82"/>
      <c r="R82" s="178"/>
      <c r="T82" s="56"/>
      <c r="U82" s="373"/>
      <c r="V82" s="8"/>
      <c r="X82" s="243" t="str">
        <f>IF($U$24="Yes","Connectivity:","")</f>
        <v/>
      </c>
      <c r="Y82" s="373"/>
      <c r="Z82"/>
    </row>
    <row r="83" spans="4:26" x14ac:dyDescent="0.3">
      <c r="D83" s="9"/>
      <c r="E83" s="9"/>
      <c r="G83" s="8"/>
      <c r="H83" s="8"/>
      <c r="I83" s="8"/>
      <c r="J83" s="8"/>
      <c r="K83" s="243" t="str">
        <f>IF($H$24="Yes","Education:","")</f>
        <v/>
      </c>
      <c r="L83" s="348"/>
      <c r="Q83" s="9"/>
      <c r="R83" s="9"/>
      <c r="T83" s="8"/>
      <c r="U83" s="8"/>
      <c r="V83" s="8"/>
      <c r="W83" s="8"/>
      <c r="X83" s="243" t="str">
        <f>IF($U$24="Yes","Education:","")</f>
        <v/>
      </c>
      <c r="Y83" s="373"/>
    </row>
    <row r="84" spans="4:26" x14ac:dyDescent="0.3">
      <c r="G84" s="8"/>
      <c r="H84" s="8"/>
      <c r="I84" s="8"/>
      <c r="J84" s="8"/>
      <c r="K84" s="243" t="str">
        <f>IF($H$24="Yes","Health:","")</f>
        <v/>
      </c>
      <c r="L84" s="348"/>
      <c r="T84" s="8"/>
      <c r="U84" s="8"/>
      <c r="V84" s="8"/>
      <c r="W84" s="8"/>
      <c r="X84" s="243" t="str">
        <f>IF($U$24="Yes","Health:","")</f>
        <v/>
      </c>
      <c r="Y84" s="373"/>
    </row>
    <row r="85" spans="4:26" x14ac:dyDescent="0.3">
      <c r="G85" s="8"/>
      <c r="H85" s="8"/>
      <c r="I85" s="8"/>
      <c r="J85" s="8"/>
      <c r="K85" s="243" t="str">
        <f>IF($H$24="Yes","Housing:","")</f>
        <v/>
      </c>
      <c r="L85" s="348"/>
      <c r="T85" s="8"/>
      <c r="U85" s="8"/>
      <c r="V85" s="8"/>
      <c r="W85" s="8"/>
      <c r="X85" s="243" t="str">
        <f>IF($U$24="Yes","Housing:","")</f>
        <v/>
      </c>
      <c r="Y85" s="373"/>
    </row>
    <row r="86" spans="4:26" x14ac:dyDescent="0.3">
      <c r="I86"/>
      <c r="J86"/>
      <c r="K86" s="56" t="str">
        <f>IF($H$24="Yes","Prosperity:","")</f>
        <v/>
      </c>
      <c r="L86" s="348"/>
      <c r="V86"/>
      <c r="W86"/>
      <c r="X86" s="56" t="str">
        <f>IF($U$24="Yes","Prosperity:","")</f>
        <v/>
      </c>
      <c r="Y86" s="373"/>
    </row>
    <row r="87" spans="4:26" x14ac:dyDescent="0.3">
      <c r="K87" s="56"/>
      <c r="X87" s="56"/>
    </row>
    <row r="88" spans="4:26" x14ac:dyDescent="0.3">
      <c r="G88" s="56" t="str">
        <f>IF($H$24="Yes","Census Tract Number (11-digit FIPS code):","")</f>
        <v/>
      </c>
      <c r="H88" s="563"/>
      <c r="I88" s="563"/>
      <c r="K88" s="56" t="str">
        <f>IF($H$24="Yes","Overall Score:","")</f>
        <v/>
      </c>
      <c r="L88" s="230" t="str">
        <f>IF(SUM(L90:L94)&lt;&gt;0,SUM(L90:L94),"")</f>
        <v/>
      </c>
      <c r="T88" s="56" t="str">
        <f>IF($U$24="Yes","Census Tract Number (11-digit FIPS code):","")</f>
        <v/>
      </c>
      <c r="U88" s="566"/>
      <c r="V88" s="566"/>
      <c r="X88" s="56" t="str">
        <f>IF($U$24="Yes","Overall Score:","")</f>
        <v/>
      </c>
      <c r="Y88" s="230" t="str">
        <f>IF(SUM(Y90:Y94)&lt;&gt;0,SUM(Y90:Y94),"")</f>
        <v/>
      </c>
    </row>
    <row r="89" spans="4:26" x14ac:dyDescent="0.3">
      <c r="D89" s="8"/>
      <c r="E89" s="8"/>
      <c r="G89" s="8"/>
      <c r="H89" s="8"/>
      <c r="I89" s="8"/>
      <c r="K89" s="56"/>
      <c r="M89" s="8"/>
      <c r="Q89" s="8"/>
      <c r="R89" s="8"/>
      <c r="T89" s="8"/>
      <c r="U89" s="8"/>
      <c r="V89" s="8"/>
      <c r="X89" s="56"/>
      <c r="Z89" s="8"/>
    </row>
    <row r="90" spans="4:26" x14ac:dyDescent="0.3">
      <c r="E90" s="178"/>
      <c r="G90" s="56"/>
      <c r="H90" s="373"/>
      <c r="I90" s="8"/>
      <c r="K90" s="243" t="str">
        <f>IF($H$24="Yes","Connectivity:","")</f>
        <v/>
      </c>
      <c r="L90" s="348"/>
      <c r="M90"/>
      <c r="R90" s="178"/>
      <c r="T90" s="56"/>
      <c r="U90" s="373"/>
      <c r="V90" s="8"/>
      <c r="X90" s="243" t="str">
        <f>IF($U$24="Yes","Connectivity:","")</f>
        <v/>
      </c>
      <c r="Y90" s="373"/>
      <c r="Z90"/>
    </row>
    <row r="91" spans="4:26" x14ac:dyDescent="0.3">
      <c r="D91" s="9"/>
      <c r="E91" s="9"/>
      <c r="G91" s="8"/>
      <c r="H91" s="8"/>
      <c r="I91" s="8"/>
      <c r="J91" s="8"/>
      <c r="K91" s="243" t="str">
        <f>IF($H$24="Yes","Education:","")</f>
        <v/>
      </c>
      <c r="L91" s="348"/>
      <c r="Q91" s="9"/>
      <c r="R91" s="9"/>
      <c r="T91" s="8"/>
      <c r="U91" s="8"/>
      <c r="V91" s="8"/>
      <c r="W91" s="8"/>
      <c r="X91" s="243" t="str">
        <f>IF($U$24="Yes","Education:","")</f>
        <v/>
      </c>
      <c r="Y91" s="373"/>
    </row>
    <row r="92" spans="4:26" x14ac:dyDescent="0.3">
      <c r="G92" s="8"/>
      <c r="H92" s="8"/>
      <c r="I92" s="8"/>
      <c r="J92" s="8"/>
      <c r="K92" s="243" t="str">
        <f>IF($H$24="Yes","Health:","")</f>
        <v/>
      </c>
      <c r="L92" s="348"/>
      <c r="T92" s="8"/>
      <c r="U92" s="8"/>
      <c r="V92" s="8"/>
      <c r="W92" s="8"/>
      <c r="X92" s="243" t="str">
        <f>IF($U$24="Yes","Health:","")</f>
        <v/>
      </c>
      <c r="Y92" s="373"/>
    </row>
    <row r="93" spans="4:26" x14ac:dyDescent="0.3">
      <c r="G93" s="8"/>
      <c r="H93" s="8"/>
      <c r="I93" s="8"/>
      <c r="J93" s="8"/>
      <c r="K93" s="243" t="str">
        <f>IF($H$24="Yes","Housing:","")</f>
        <v/>
      </c>
      <c r="L93" s="348"/>
      <c r="T93" s="8"/>
      <c r="U93" s="8"/>
      <c r="V93" s="8"/>
      <c r="W93" s="8"/>
      <c r="X93" s="243" t="str">
        <f>IF($U$24="Yes","Housing:","")</f>
        <v/>
      </c>
      <c r="Y93" s="373"/>
    </row>
    <row r="94" spans="4:26" x14ac:dyDescent="0.3">
      <c r="I94"/>
      <c r="J94"/>
      <c r="K94" s="56" t="str">
        <f>IF($H$24="Yes","Prosperity:","")</f>
        <v/>
      </c>
      <c r="L94" s="348"/>
      <c r="V94"/>
      <c r="W94"/>
      <c r="X94" s="56" t="str">
        <f>IF($U$24="Yes","Prosperity:","")</f>
        <v/>
      </c>
      <c r="Y94" s="373"/>
    </row>
    <row r="95" spans="4:26" x14ac:dyDescent="0.3">
      <c r="K95" s="56"/>
      <c r="X95" s="56"/>
    </row>
    <row r="96" spans="4:26" x14ac:dyDescent="0.3">
      <c r="G96" s="56" t="str">
        <f>IF($H$24="Yes","Census Tract Number (11-digit FIPS code):","")</f>
        <v/>
      </c>
      <c r="H96" s="563"/>
      <c r="I96" s="563"/>
      <c r="K96" s="56" t="str">
        <f>IF($H$24="Yes","Overall Score:","")</f>
        <v/>
      </c>
      <c r="L96" s="230" t="str">
        <f>IF(SUM(L98:L102)&lt;&gt;0,SUM(L98:L102),"")</f>
        <v/>
      </c>
      <c r="T96" s="56" t="str">
        <f>IF($U$24="Yes","Census Tract Number (11-digit FIPS code):","")</f>
        <v/>
      </c>
      <c r="U96" s="566"/>
      <c r="V96" s="566"/>
      <c r="X96" s="56" t="str">
        <f>IF($U$24="Yes","Overall Score:","")</f>
        <v/>
      </c>
      <c r="Y96" s="230" t="str">
        <f>IF(SUM(Y98:Y102)&lt;&gt;0,SUM(Y98:Y102),"")</f>
        <v/>
      </c>
    </row>
    <row r="97" spans="4:26" x14ac:dyDescent="0.3">
      <c r="D97" s="8"/>
      <c r="E97" s="8"/>
      <c r="G97" s="8"/>
      <c r="H97" s="8"/>
      <c r="I97" s="8"/>
      <c r="K97" s="56"/>
      <c r="M97" s="8"/>
      <c r="Q97" s="8"/>
      <c r="R97" s="8"/>
      <c r="T97" s="8"/>
      <c r="U97" s="8"/>
      <c r="V97" s="8"/>
      <c r="X97" s="56"/>
      <c r="Z97" s="8"/>
    </row>
    <row r="98" spans="4:26" x14ac:dyDescent="0.3">
      <c r="E98" s="178"/>
      <c r="G98" s="56"/>
      <c r="H98" s="373"/>
      <c r="I98" s="8"/>
      <c r="K98" s="243" t="str">
        <f>IF($H$24="Yes","Connectivity:","")</f>
        <v/>
      </c>
      <c r="L98" s="348"/>
      <c r="M98"/>
      <c r="R98" s="178"/>
      <c r="T98" s="56"/>
      <c r="U98" s="373"/>
      <c r="V98" s="8"/>
      <c r="X98" s="243" t="str">
        <f>IF($U$24="Yes","Connectivity:","")</f>
        <v/>
      </c>
      <c r="Y98" s="373"/>
      <c r="Z98"/>
    </row>
    <row r="99" spans="4:26" x14ac:dyDescent="0.3">
      <c r="D99" s="9"/>
      <c r="E99" s="9"/>
      <c r="G99" s="8"/>
      <c r="H99" s="8"/>
      <c r="I99" s="8"/>
      <c r="J99" s="8"/>
      <c r="K99" s="243" t="str">
        <f>IF($H$24="Yes","Education:","")</f>
        <v/>
      </c>
      <c r="L99" s="348"/>
      <c r="Q99" s="9"/>
      <c r="R99" s="9"/>
      <c r="T99" s="8"/>
      <c r="U99" s="8"/>
      <c r="V99" s="8"/>
      <c r="W99" s="8"/>
      <c r="X99" s="243" t="str">
        <f>IF($U$24="Yes","Education:","")</f>
        <v/>
      </c>
      <c r="Y99" s="373"/>
    </row>
    <row r="100" spans="4:26" x14ac:dyDescent="0.3">
      <c r="G100" s="8"/>
      <c r="H100" s="8"/>
      <c r="I100" s="8"/>
      <c r="J100" s="8"/>
      <c r="K100" s="243" t="str">
        <f>IF($H$24="Yes","Health:","")</f>
        <v/>
      </c>
      <c r="L100" s="348"/>
      <c r="T100" s="8"/>
      <c r="U100" s="8"/>
      <c r="V100" s="8"/>
      <c r="W100" s="8"/>
      <c r="X100" s="243" t="str">
        <f>IF($U$24="Yes","Health:","")</f>
        <v/>
      </c>
      <c r="Y100" s="373"/>
    </row>
    <row r="101" spans="4:26" x14ac:dyDescent="0.3">
      <c r="G101" s="8"/>
      <c r="H101" s="8"/>
      <c r="I101" s="8"/>
      <c r="J101" s="8"/>
      <c r="K101" s="243" t="str">
        <f>IF($H$24="Yes","Housing:","")</f>
        <v/>
      </c>
      <c r="L101" s="348"/>
      <c r="T101" s="8"/>
      <c r="U101" s="8"/>
      <c r="V101" s="8"/>
      <c r="W101" s="8"/>
      <c r="X101" s="243" t="str">
        <f>IF($U$24="Yes","Housing:","")</f>
        <v/>
      </c>
      <c r="Y101" s="373"/>
    </row>
    <row r="102" spans="4:26" x14ac:dyDescent="0.3">
      <c r="I102"/>
      <c r="J102"/>
      <c r="K102" s="56" t="str">
        <f>IF($H$24="Yes","Prosperity:","")</f>
        <v/>
      </c>
      <c r="L102" s="348"/>
      <c r="V102"/>
      <c r="W102"/>
      <c r="X102" s="56" t="str">
        <f>IF($U$24="Yes","Prosperity:","")</f>
        <v/>
      </c>
      <c r="Y102" s="373"/>
    </row>
  </sheetData>
  <sheetProtection algorithmName="SHA-512" hashValue="C4MQeBC04ZwiljXwA45sh0KKGDkEeOrEKsgpM8DchtkRqNJD8uhCe1u9YUC4D3YxRUL7xPLLNyt6C95bsPPlrA==" saltValue="RuJt1Gx8hONh58eB6uq6qw==" spinCount="100000" sheet="1" objects="1" scenarios="1" selectLockedCells="1"/>
  <mergeCells count="38">
    <mergeCell ref="U72:V72"/>
    <mergeCell ref="U80:V80"/>
    <mergeCell ref="U88:V88"/>
    <mergeCell ref="U96:V96"/>
    <mergeCell ref="F26:J26"/>
    <mergeCell ref="S26:W26"/>
    <mergeCell ref="U30:V30"/>
    <mergeCell ref="U38:V38"/>
    <mergeCell ref="U47:V47"/>
    <mergeCell ref="U55:V55"/>
    <mergeCell ref="U64:V64"/>
    <mergeCell ref="H72:I72"/>
    <mergeCell ref="H80:I80"/>
    <mergeCell ref="H88:I88"/>
    <mergeCell ref="H96:I96"/>
    <mergeCell ref="H30:I30"/>
    <mergeCell ref="H38:I38"/>
    <mergeCell ref="H47:I47"/>
    <mergeCell ref="H55:I55"/>
    <mergeCell ref="H64:I64"/>
    <mergeCell ref="H8:I8"/>
    <mergeCell ref="H22:I22"/>
    <mergeCell ref="F28:J28"/>
    <mergeCell ref="D15:M16"/>
    <mergeCell ref="D18:M18"/>
    <mergeCell ref="S28:W28"/>
    <mergeCell ref="U8:V8"/>
    <mergeCell ref="D13:M13"/>
    <mergeCell ref="Q13:Z13"/>
    <mergeCell ref="D2:M2"/>
    <mergeCell ref="Q2:Z2"/>
    <mergeCell ref="D3:M3"/>
    <mergeCell ref="Q3:Z3"/>
    <mergeCell ref="H6:L6"/>
    <mergeCell ref="U6:Y6"/>
    <mergeCell ref="U22:V22"/>
    <mergeCell ref="Q15:Z16"/>
    <mergeCell ref="Q18:Z18"/>
  </mergeCells>
  <conditionalFormatting sqref="H30:I30 H38:I38 H47:I47 H55:I55 H64:I64 H72:I72 H80:I80 H88:I88 H96:I96">
    <cfRule type="expression" dxfId="38" priority="30">
      <formula>$H$24="Yes"</formula>
    </cfRule>
  </conditionalFormatting>
  <conditionalFormatting sqref="L24:L28 L32:L36 L40:L44 L49:L53 L57:L61 L66:L70 L74:L78 L82:L86 L90:L94 L98:L102">
    <cfRule type="expression" dxfId="37" priority="29">
      <formula>$H$24="Yes"</formula>
    </cfRule>
  </conditionalFormatting>
  <conditionalFormatting sqref="L30 L38 L47 L55 L64 L72 L80 L88 L96">
    <cfRule type="expression" dxfId="36" priority="25">
      <formula>$H$24="Yes"</formula>
    </cfRule>
    <cfRule type="expression" dxfId="35" priority="28">
      <formula>$H$24="Yes"</formula>
    </cfRule>
  </conditionalFormatting>
  <conditionalFormatting sqref="U30:V30 U38:V38 U47:V47 U55:V55 U64:V64 U72:V72 U80:V80 U88:V88 U96:V96">
    <cfRule type="expression" dxfId="34" priority="23">
      <formula>$U$24="Yes"</formula>
    </cfRule>
  </conditionalFormatting>
  <conditionalFormatting sqref="Y24:Y28 Y32:Y36 Y40:Y44 Y49:Y53 Y57:Y61 Y66:Y70 Y74:Y78 Y82:Y86 Y90:Y94 Y98:Y102">
    <cfRule type="expression" dxfId="33" priority="22">
      <formula>$U$24="Yes"</formula>
    </cfRule>
  </conditionalFormatting>
  <conditionalFormatting sqref="H30">
    <cfRule type="expression" dxfId="32" priority="27">
      <formula>$H$24="Yes"</formula>
    </cfRule>
  </conditionalFormatting>
  <conditionalFormatting sqref="L32:L36">
    <cfRule type="expression" dxfId="31" priority="26">
      <formula>$H$24="Yes"</formula>
    </cfRule>
  </conditionalFormatting>
  <conditionalFormatting sqref="S26:W26">
    <cfRule type="expression" dxfId="30" priority="20">
      <formula>$U$24="Yes"</formula>
    </cfRule>
  </conditionalFormatting>
  <conditionalFormatting sqref="F26:J26">
    <cfRule type="expression" dxfId="29" priority="19">
      <formula>$H$24="Yes"</formula>
    </cfRule>
  </conditionalFormatting>
  <conditionalFormatting sqref="Y96">
    <cfRule type="expression" dxfId="28" priority="17">
      <formula>$H$24="Yes"</formula>
    </cfRule>
    <cfRule type="expression" dxfId="27" priority="18">
      <formula>$H$24="Yes"</formula>
    </cfRule>
  </conditionalFormatting>
  <conditionalFormatting sqref="Y88">
    <cfRule type="expression" dxfId="26" priority="15">
      <formula>$H$24="Yes"</formula>
    </cfRule>
    <cfRule type="expression" dxfId="25" priority="16">
      <formula>$H$24="Yes"</formula>
    </cfRule>
  </conditionalFormatting>
  <conditionalFormatting sqref="Y80">
    <cfRule type="expression" dxfId="24" priority="13">
      <formula>$H$24="Yes"</formula>
    </cfRule>
    <cfRule type="expression" dxfId="23" priority="14">
      <formula>$H$24="Yes"</formula>
    </cfRule>
  </conditionalFormatting>
  <conditionalFormatting sqref="Y72">
    <cfRule type="expression" dxfId="22" priority="11">
      <formula>$H$24="Yes"</formula>
    </cfRule>
    <cfRule type="expression" dxfId="21" priority="12">
      <formula>$H$24="Yes"</formula>
    </cfRule>
  </conditionalFormatting>
  <conditionalFormatting sqref="Y64">
    <cfRule type="expression" dxfId="20" priority="9">
      <formula>$H$24="Yes"</formula>
    </cfRule>
    <cfRule type="expression" dxfId="19" priority="10">
      <formula>$H$24="Yes"</formula>
    </cfRule>
  </conditionalFormatting>
  <conditionalFormatting sqref="Y55">
    <cfRule type="expression" dxfId="18" priority="7">
      <formula>$H$24="Yes"</formula>
    </cfRule>
    <cfRule type="expression" dxfId="17" priority="8">
      <formula>$H$24="Yes"</formula>
    </cfRule>
  </conditionalFormatting>
  <conditionalFormatting sqref="Y47">
    <cfRule type="expression" dxfId="16" priority="5">
      <formula>$H$24="Yes"</formula>
    </cfRule>
    <cfRule type="expression" dxfId="15" priority="6">
      <formula>$H$24="Yes"</formula>
    </cfRule>
  </conditionalFormatting>
  <conditionalFormatting sqref="Y38">
    <cfRule type="expression" dxfId="14" priority="3">
      <formula>$H$24="Yes"</formula>
    </cfRule>
    <cfRule type="expression" dxfId="13" priority="4">
      <formula>$H$24="Yes"</formula>
    </cfRule>
  </conditionalFormatting>
  <conditionalFormatting sqref="Y30">
    <cfRule type="expression" dxfId="12" priority="1">
      <formula>$H$24="Yes"</formula>
    </cfRule>
    <cfRule type="expression" dxfId="11" priority="2">
      <formula>$H$24="Yes"</formula>
    </cfRule>
  </conditionalFormatting>
  <dataValidations count="3">
    <dataValidation type="list" allowBlank="1" showInputMessage="1" showErrorMessage="1" sqref="U24 H24" xr:uid="{73998E9B-FE59-4763-92BD-5CBF3DBD9D85}">
      <formula1>$B$6:$B$7</formula1>
    </dataValidation>
    <dataValidation type="list" allowBlank="1" showInputMessage="1" showErrorMessage="1" sqref="L24:L28 L32:L36 L40:L44 L49:L53 L57:L61 L66:L70 L74:L78 L82:L86 L90:L94 L98:L102 Y24:Y28 Y32:Y36 Y40:Y44 Y49:Y53 Y57:Y61 Y66:Y70 Y74:Y78 Y82:Y86 Y90:Y94 Y98:Y102" xr:uid="{18A20630-8FC0-4509-85C7-F828C7332240}">
      <formula1>$B$9:$B$11</formula1>
    </dataValidation>
    <dataValidation type="textLength" allowBlank="1" showInputMessage="1" showErrorMessage="1" sqref="H22:I22 H30:I30 H38:I38 H47:I47 H55:I55 H64:I64 H72:I72 H80:I80 H88:I88 H96:I96 U22:V22 U30:V30 U38:V38 U47:V47 U55:V55 U64:V64 U72:V72 U80:V80 U88:V88 U96:V96" xr:uid="{C86C939B-38DB-45A5-B3C9-F734538F303F}">
      <formula1>11</formula1>
      <formula2>11</formula2>
    </dataValidation>
  </dataValidations>
  <pageMargins left="0.7" right="0.7" top="0.75" bottom="0.75" header="0.3" footer="0.3"/>
  <pageSetup scale="78" orientation="portrait" horizontalDpi="1200" verticalDpi="12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dimension ref="A1:AB35"/>
  <sheetViews>
    <sheetView showGridLines="0" view="pageBreakPreview" topLeftCell="B1" zoomScaleNormal="100" zoomScaleSheetLayoutView="100" workbookViewId="0">
      <selection activeCell="G18" sqref="G18"/>
    </sheetView>
  </sheetViews>
  <sheetFormatPr defaultColWidth="9.109375" defaultRowHeight="15.6" x14ac:dyDescent="0.3"/>
  <cols>
    <col min="1" max="1" width="2.44140625" style="1" hidden="1" customWidth="1"/>
    <col min="2" max="2" width="3.5546875" style="1" customWidth="1"/>
    <col min="3" max="3" width="9.109375" style="1" hidden="1" customWidth="1"/>
    <col min="4" max="4" width="9.109375" style="30" hidden="1" customWidth="1"/>
    <col min="5" max="6" width="4.88671875" style="1" customWidth="1"/>
    <col min="7" max="8" width="12.44140625" style="1" customWidth="1"/>
    <col min="9" max="9" width="12.33203125" style="1" customWidth="1"/>
    <col min="10" max="14" width="12.44140625" style="1" customWidth="1"/>
    <col min="15" max="15" width="3.5546875" style="1" customWidth="1"/>
    <col min="16" max="16" width="4.88671875" style="1" hidden="1" customWidth="1"/>
    <col min="17" max="17" width="10.88671875" style="1" hidden="1" customWidth="1"/>
    <col min="18" max="18" width="9.109375" style="30" hidden="1" customWidth="1"/>
    <col min="19" max="20" width="4.88671875" style="1" customWidth="1"/>
    <col min="21" max="28" width="12.44140625" style="1" customWidth="1"/>
    <col min="29" max="16384" width="9.109375" style="1"/>
  </cols>
  <sheetData>
    <row r="1" spans="3:28" x14ac:dyDescent="0.3">
      <c r="Q1" s="50"/>
    </row>
    <row r="2" spans="3:28" x14ac:dyDescent="0.3">
      <c r="E2" s="410" t="s">
        <v>401</v>
      </c>
      <c r="F2" s="410"/>
      <c r="G2" s="410"/>
      <c r="H2" s="410"/>
      <c r="I2" s="410"/>
      <c r="J2" s="410"/>
      <c r="K2" s="410"/>
      <c r="L2" s="410"/>
      <c r="M2" s="410"/>
      <c r="N2" s="410"/>
      <c r="O2" s="230"/>
      <c r="P2" s="230"/>
      <c r="Q2" s="50"/>
      <c r="S2" s="410" t="s">
        <v>401</v>
      </c>
      <c r="T2" s="410"/>
      <c r="U2" s="410"/>
      <c r="V2" s="410"/>
      <c r="W2" s="410"/>
      <c r="X2" s="410"/>
      <c r="Y2" s="410"/>
      <c r="Z2" s="410"/>
      <c r="AA2" s="410"/>
      <c r="AB2" s="410"/>
    </row>
    <row r="3" spans="3:28" ht="16.2" thickBot="1" x14ac:dyDescent="0.35">
      <c r="E3" s="411" t="s">
        <v>53</v>
      </c>
      <c r="F3" s="411"/>
      <c r="G3" s="411"/>
      <c r="H3" s="411"/>
      <c r="I3" s="411"/>
      <c r="J3" s="411"/>
      <c r="K3" s="411"/>
      <c r="L3" s="411"/>
      <c r="M3" s="411"/>
      <c r="N3" s="411"/>
      <c r="O3" s="2"/>
      <c r="P3" s="2"/>
      <c r="Q3" s="50"/>
      <c r="S3" s="411" t="s">
        <v>54</v>
      </c>
      <c r="T3" s="411"/>
      <c r="U3" s="411"/>
      <c r="V3" s="411"/>
      <c r="W3" s="411"/>
      <c r="X3" s="411"/>
      <c r="Y3" s="411"/>
      <c r="Z3" s="411"/>
      <c r="AA3" s="411"/>
      <c r="AB3" s="411"/>
    </row>
    <row r="4" spans="3:28" x14ac:dyDescent="0.3">
      <c r="E4" s="2"/>
      <c r="F4" s="2"/>
      <c r="G4" s="2"/>
      <c r="H4" s="2"/>
      <c r="I4" s="2"/>
      <c r="J4" s="2"/>
      <c r="K4" s="2"/>
      <c r="L4" s="2"/>
      <c r="M4" s="2"/>
      <c r="N4" s="2"/>
      <c r="O4" s="2"/>
      <c r="P4" s="2"/>
      <c r="Q4" s="50"/>
      <c r="S4" s="2"/>
      <c r="T4" s="2"/>
      <c r="U4" s="2"/>
      <c r="V4" s="2"/>
      <c r="W4" s="2"/>
      <c r="X4" s="2"/>
      <c r="Y4" s="2"/>
      <c r="Z4" s="2"/>
      <c r="AA4" s="2"/>
      <c r="AB4" s="2"/>
    </row>
    <row r="5" spans="3:28" x14ac:dyDescent="0.3">
      <c r="E5" s="2"/>
      <c r="F5" s="2"/>
      <c r="H5" s="56" t="s">
        <v>0</v>
      </c>
      <c r="I5" s="21" t="str">
        <f>IF(Summary!$E$5="","",Summary!$E$5)</f>
        <v/>
      </c>
      <c r="J5" s="86"/>
      <c r="K5" s="86"/>
      <c r="L5" s="86"/>
      <c r="M5" s="86"/>
      <c r="N5" s="2"/>
      <c r="O5" s="2"/>
      <c r="P5" s="2"/>
      <c r="Q5" s="50"/>
      <c r="S5" s="2"/>
      <c r="T5" s="2"/>
      <c r="V5" s="56" t="s">
        <v>0</v>
      </c>
      <c r="W5" s="21" t="str">
        <f>IF(Summary!$S$5="","",Summary!$S$5)</f>
        <v/>
      </c>
      <c r="X5" s="86"/>
      <c r="Y5" s="86"/>
      <c r="Z5" s="86"/>
      <c r="AA5" s="86"/>
      <c r="AB5" s="2"/>
    </row>
    <row r="6" spans="3:28" x14ac:dyDescent="0.3">
      <c r="H6" s="56" t="s">
        <v>1</v>
      </c>
      <c r="I6" s="515" t="str">
        <f>IF(Summary!E6="","",Summary!E6)</f>
        <v/>
      </c>
      <c r="J6" s="516"/>
      <c r="K6" s="516"/>
      <c r="L6" s="516"/>
      <c r="M6" s="517"/>
      <c r="Q6" s="50"/>
      <c r="V6" s="56" t="s">
        <v>1</v>
      </c>
      <c r="W6" s="515" t="str">
        <f>IF(Summary!$S6="","",Summary!$S6)</f>
        <v/>
      </c>
      <c r="X6" s="516"/>
      <c r="Y6" s="516"/>
      <c r="Z6" s="516"/>
      <c r="AA6" s="517"/>
    </row>
    <row r="7" spans="3:28" x14ac:dyDescent="0.3">
      <c r="H7" s="56"/>
      <c r="I7" s="182"/>
      <c r="J7" s="182"/>
      <c r="K7" s="86"/>
      <c r="L7" s="86"/>
      <c r="M7" s="86"/>
      <c r="Q7" s="50"/>
      <c r="V7" s="56"/>
      <c r="W7" s="182"/>
      <c r="X7" s="182"/>
      <c r="Y7" s="86"/>
      <c r="Z7" s="86"/>
      <c r="AA7" s="86"/>
    </row>
    <row r="8" spans="3:28" x14ac:dyDescent="0.3">
      <c r="H8" s="56" t="s">
        <v>48</v>
      </c>
      <c r="I8" s="518" t="str">
        <f>IF(Summary!E8="","",Summary!E8)</f>
        <v/>
      </c>
      <c r="J8" s="518"/>
      <c r="K8" s="86"/>
      <c r="L8" s="86"/>
      <c r="M8" s="86"/>
      <c r="Q8" s="50"/>
      <c r="V8" s="56" t="s">
        <v>48</v>
      </c>
      <c r="W8" s="526" t="str">
        <f>IF(Summary!$S8="","",Summary!$S8)</f>
        <v/>
      </c>
      <c r="X8" s="527"/>
      <c r="Y8" s="86"/>
      <c r="Z8" s="86"/>
      <c r="AA8" s="86"/>
    </row>
    <row r="9" spans="3:28" x14ac:dyDescent="0.3">
      <c r="H9" s="56"/>
      <c r="I9" s="84"/>
      <c r="J9" s="84"/>
      <c r="K9" s="86"/>
      <c r="L9" s="86"/>
      <c r="M9" s="86"/>
      <c r="Q9" s="50"/>
      <c r="V9" s="56"/>
      <c r="W9" s="84"/>
      <c r="X9" s="84"/>
      <c r="Y9" s="86"/>
      <c r="Z9" s="86"/>
      <c r="AA9" s="86"/>
    </row>
    <row r="10" spans="3:28" x14ac:dyDescent="0.3">
      <c r="H10" s="56" t="s">
        <v>45</v>
      </c>
      <c r="I10" s="23">
        <f>IF(L34&gt;0,IF(AND(E15="",E16=""),SUM(G27:G32)*(J34/L34),0),0)</f>
        <v>0</v>
      </c>
      <c r="J10" s="84"/>
      <c r="K10" s="86"/>
      <c r="L10" s="86"/>
      <c r="M10" s="86"/>
      <c r="Q10" s="50"/>
      <c r="V10" s="56" t="s">
        <v>46</v>
      </c>
      <c r="W10" s="23">
        <f>IF(X34="",SUM(U27:U32),X34)</f>
        <v>0</v>
      </c>
      <c r="X10" s="84"/>
      <c r="Y10" s="86"/>
      <c r="Z10" s="86"/>
      <c r="AA10" s="86"/>
    </row>
    <row r="11" spans="3:28" ht="16.2" thickBot="1" x14ac:dyDescent="0.35">
      <c r="C11" s="1" t="s">
        <v>3</v>
      </c>
      <c r="E11" s="3"/>
      <c r="F11" s="3"/>
      <c r="G11" s="3"/>
      <c r="H11" s="3"/>
      <c r="I11" s="3"/>
      <c r="J11" s="3"/>
      <c r="K11" s="3"/>
      <c r="L11" s="3"/>
      <c r="M11" s="3"/>
      <c r="N11" s="3"/>
      <c r="Q11" s="50"/>
      <c r="S11" s="3"/>
      <c r="T11" s="3"/>
      <c r="U11" s="3"/>
      <c r="V11" s="3"/>
      <c r="W11" s="3"/>
      <c r="X11" s="3"/>
      <c r="Y11" s="3"/>
      <c r="Z11" s="3"/>
      <c r="AA11" s="3"/>
      <c r="AB11" s="3"/>
    </row>
    <row r="12" spans="3:28" x14ac:dyDescent="0.3">
      <c r="Q12" s="50"/>
    </row>
    <row r="13" spans="3:28" ht="60" customHeight="1" x14ac:dyDescent="0.3">
      <c r="C13" s="1">
        <v>0</v>
      </c>
      <c r="E13" s="569" t="s">
        <v>620</v>
      </c>
      <c r="F13" s="569"/>
      <c r="G13" s="569"/>
      <c r="H13" s="569"/>
      <c r="I13" s="569"/>
      <c r="J13" s="569"/>
      <c r="K13" s="569"/>
      <c r="L13" s="569"/>
      <c r="M13" s="569"/>
      <c r="N13" s="569"/>
      <c r="Q13" s="50"/>
      <c r="S13" s="569" t="s">
        <v>620</v>
      </c>
      <c r="T13" s="569"/>
      <c r="U13" s="569"/>
      <c r="V13" s="569"/>
      <c r="W13" s="569"/>
      <c r="X13" s="569"/>
      <c r="Y13" s="569"/>
      <c r="Z13" s="569"/>
      <c r="AA13" s="569"/>
      <c r="AB13" s="569"/>
    </row>
    <row r="14" spans="3:28" ht="222" customHeight="1" x14ac:dyDescent="0.3">
      <c r="C14" s="1">
        <v>1</v>
      </c>
      <c r="E14" s="568" t="s">
        <v>619</v>
      </c>
      <c r="F14" s="568"/>
      <c r="G14" s="568"/>
      <c r="H14" s="568"/>
      <c r="I14" s="568"/>
      <c r="J14" s="568"/>
      <c r="K14" s="568"/>
      <c r="L14" s="568"/>
      <c r="M14" s="568"/>
      <c r="N14" s="568"/>
      <c r="O14" s="86"/>
      <c r="P14" s="86"/>
      <c r="Q14" s="50"/>
      <c r="S14" s="568" t="s">
        <v>619</v>
      </c>
      <c r="T14" s="568"/>
      <c r="U14" s="568"/>
      <c r="V14" s="568"/>
      <c r="W14" s="568"/>
      <c r="X14" s="568"/>
      <c r="Y14" s="568"/>
      <c r="Z14" s="568"/>
      <c r="AA14" s="568"/>
      <c r="AB14" s="568"/>
    </row>
    <row r="15" spans="3:28" ht="15.75" customHeight="1" x14ac:dyDescent="0.3">
      <c r="C15" s="1">
        <v>2</v>
      </c>
      <c r="E15" s="542" t="str">
        <f>IF(AND(SUM(G27:G32)&lt;&gt;0,OR(G18="",G19="",G21="",G22="",G23="",G24="")),"ERROR: ALL THRESHOLD REQUIREMENTS MUST BE MET IN ORDER TO SCORE POINTS","")</f>
        <v/>
      </c>
      <c r="F15" s="542"/>
      <c r="G15" s="542"/>
      <c r="H15" s="542"/>
      <c r="I15" s="542"/>
      <c r="J15" s="542"/>
      <c r="K15" s="542"/>
      <c r="L15" s="542"/>
      <c r="M15" s="542"/>
      <c r="N15" s="542"/>
      <c r="Q15" s="50"/>
      <c r="S15" s="174"/>
      <c r="T15" s="174"/>
      <c r="U15" s="174"/>
      <c r="V15" s="174"/>
      <c r="W15" s="174"/>
      <c r="X15" s="174"/>
      <c r="Y15" s="174"/>
      <c r="Z15" s="174"/>
      <c r="AA15" s="174"/>
      <c r="AB15" s="174"/>
    </row>
    <row r="16" spans="3:28" ht="36" customHeight="1" x14ac:dyDescent="0.3">
      <c r="C16" s="1">
        <v>3</v>
      </c>
      <c r="E16" s="542" t="str">
        <f>IF(OR(AND(SUM(G27:G32)&lt;&gt;0,J34=""),J34&gt;L34),"ERROR: INDICATE BELOW THE NUMBER OF UNITS (LESS THAN TOTAL UNITS) TO WHICH THE COMMUNITY REVITALIZATION STRATEGY PERTAINS","")</f>
        <v/>
      </c>
      <c r="F16" s="542"/>
      <c r="G16" s="542"/>
      <c r="H16" s="542"/>
      <c r="I16" s="542"/>
      <c r="J16" s="542"/>
      <c r="K16" s="542"/>
      <c r="L16" s="542"/>
      <c r="M16" s="542"/>
      <c r="N16" s="542"/>
      <c r="Q16" s="50"/>
      <c r="S16" s="174"/>
      <c r="T16" s="174"/>
      <c r="U16" s="174"/>
      <c r="V16" s="174"/>
      <c r="W16" s="174"/>
      <c r="X16" s="174"/>
      <c r="Y16" s="174"/>
      <c r="Z16" s="174"/>
      <c r="AA16" s="174"/>
      <c r="AB16" s="174"/>
    </row>
    <row r="17" spans="5:28" x14ac:dyDescent="0.3">
      <c r="E17" s="188" t="s">
        <v>220</v>
      </c>
      <c r="F17" s="169"/>
      <c r="G17" s="169"/>
      <c r="H17" s="169"/>
      <c r="I17" s="169"/>
      <c r="J17" s="169"/>
      <c r="K17" s="169"/>
      <c r="L17" s="169"/>
      <c r="M17" s="169"/>
      <c r="N17" s="169"/>
      <c r="Q17" s="50"/>
      <c r="S17" s="188" t="s">
        <v>220</v>
      </c>
      <c r="T17" s="169"/>
      <c r="U17" s="169"/>
      <c r="V17" s="169"/>
      <c r="W17" s="169"/>
      <c r="X17" s="169"/>
      <c r="Y17" s="169"/>
      <c r="Z17" s="169"/>
      <c r="AA17" s="169"/>
      <c r="AB17" s="169"/>
    </row>
    <row r="18" spans="5:28" ht="15.75" customHeight="1" x14ac:dyDescent="0.3">
      <c r="G18" s="360"/>
      <c r="H18" s="434" t="s">
        <v>221</v>
      </c>
      <c r="I18" s="434"/>
      <c r="J18" s="434"/>
      <c r="K18" s="434"/>
      <c r="L18" s="434"/>
      <c r="M18" s="434"/>
      <c r="N18" s="434"/>
      <c r="Q18" s="50"/>
      <c r="U18" s="361"/>
      <c r="V18" s="434" t="s">
        <v>221</v>
      </c>
      <c r="W18" s="434"/>
      <c r="X18" s="434"/>
      <c r="Y18" s="434"/>
      <c r="Z18" s="434"/>
      <c r="AA18" s="434"/>
      <c r="AB18" s="434"/>
    </row>
    <row r="19" spans="5:28" x14ac:dyDescent="0.3">
      <c r="G19" s="360"/>
      <c r="H19" s="1" t="s">
        <v>222</v>
      </c>
      <c r="Q19" s="50"/>
      <c r="U19" s="361"/>
      <c r="V19" s="1" t="s">
        <v>222</v>
      </c>
    </row>
    <row r="20" spans="5:28" x14ac:dyDescent="0.3">
      <c r="F20" s="86"/>
      <c r="G20" s="194" t="s">
        <v>223</v>
      </c>
      <c r="Q20" s="50"/>
      <c r="T20" s="86"/>
      <c r="U20" s="194" t="s">
        <v>223</v>
      </c>
    </row>
    <row r="21" spans="5:28" ht="15.75" customHeight="1" x14ac:dyDescent="0.3">
      <c r="G21" s="360"/>
      <c r="H21" s="434" t="s">
        <v>224</v>
      </c>
      <c r="I21" s="434"/>
      <c r="J21" s="434"/>
      <c r="K21" s="434"/>
      <c r="L21" s="434"/>
      <c r="M21" s="434"/>
      <c r="N21" s="434"/>
      <c r="Q21" s="50"/>
      <c r="U21" s="361"/>
      <c r="V21" s="434" t="s">
        <v>224</v>
      </c>
      <c r="W21" s="434"/>
      <c r="X21" s="434"/>
      <c r="Y21" s="434"/>
      <c r="Z21" s="434"/>
      <c r="AA21" s="434"/>
      <c r="AB21" s="434"/>
    </row>
    <row r="22" spans="5:28" x14ac:dyDescent="0.3">
      <c r="G22" s="360"/>
      <c r="H22" s="1" t="s">
        <v>225</v>
      </c>
      <c r="Q22" s="50"/>
      <c r="U22" s="361"/>
      <c r="V22" s="1" t="s">
        <v>225</v>
      </c>
    </row>
    <row r="23" spans="5:28" x14ac:dyDescent="0.3">
      <c r="G23" s="360"/>
      <c r="H23" s="1" t="s">
        <v>226</v>
      </c>
      <c r="Q23" s="50"/>
      <c r="U23" s="361"/>
      <c r="V23" s="1" t="s">
        <v>226</v>
      </c>
    </row>
    <row r="24" spans="5:28" x14ac:dyDescent="0.3">
      <c r="G24" s="360"/>
      <c r="H24" s="1" t="s">
        <v>227</v>
      </c>
      <c r="Q24" s="50"/>
      <c r="U24" s="361"/>
      <c r="V24" s="1" t="s">
        <v>227</v>
      </c>
    </row>
    <row r="25" spans="5:28" x14ac:dyDescent="0.3">
      <c r="E25" s="188" t="s">
        <v>228</v>
      </c>
      <c r="F25" s="8"/>
      <c r="G25" s="8"/>
      <c r="H25" s="8"/>
      <c r="I25" s="8"/>
      <c r="J25" s="8"/>
      <c r="K25" s="8"/>
      <c r="L25" s="8"/>
      <c r="M25" s="8"/>
      <c r="N25" s="8"/>
      <c r="Q25" s="50"/>
      <c r="S25" s="188" t="s">
        <v>228</v>
      </c>
      <c r="T25" s="8"/>
      <c r="U25" s="8"/>
      <c r="V25" s="8"/>
      <c r="W25" s="8"/>
      <c r="X25" s="8"/>
      <c r="Y25" s="8"/>
      <c r="Z25" s="8"/>
      <c r="AA25" s="8"/>
      <c r="AB25" s="8"/>
    </row>
    <row r="26" spans="5:28" ht="15.75" customHeight="1" x14ac:dyDescent="0.3">
      <c r="E26" s="188"/>
      <c r="F26" s="8"/>
      <c r="G26" s="570" t="s">
        <v>229</v>
      </c>
      <c r="H26" s="570"/>
      <c r="I26" s="570"/>
      <c r="J26" s="570"/>
      <c r="K26" s="570"/>
      <c r="L26" s="570"/>
      <c r="M26" s="570"/>
      <c r="N26" s="570"/>
      <c r="Q26" s="50"/>
      <c r="S26" s="188"/>
      <c r="T26" s="8"/>
      <c r="U26" s="570" t="s">
        <v>229</v>
      </c>
      <c r="V26" s="570"/>
      <c r="W26" s="570"/>
      <c r="X26" s="570"/>
      <c r="Y26" s="570"/>
      <c r="Z26" s="570"/>
      <c r="AA26" s="570"/>
      <c r="AB26" s="570"/>
    </row>
    <row r="27" spans="5:28" ht="15.75" customHeight="1" x14ac:dyDescent="0.3">
      <c r="G27" s="360"/>
      <c r="H27" s="434" t="s">
        <v>352</v>
      </c>
      <c r="I27" s="434"/>
      <c r="J27" s="434"/>
      <c r="K27" s="434"/>
      <c r="L27" s="434"/>
      <c r="M27" s="434"/>
      <c r="N27" s="434"/>
      <c r="Q27" s="50"/>
      <c r="U27" s="361"/>
      <c r="V27" s="434" t="s">
        <v>352</v>
      </c>
      <c r="W27" s="434"/>
      <c r="X27" s="434"/>
      <c r="Y27" s="434"/>
      <c r="Z27" s="434"/>
      <c r="AA27" s="434"/>
      <c r="AB27" s="434"/>
    </row>
    <row r="28" spans="5:28" x14ac:dyDescent="0.3">
      <c r="G28" s="360"/>
      <c r="H28" s="1" t="s">
        <v>231</v>
      </c>
      <c r="U28" s="361"/>
      <c r="V28" s="1" t="s">
        <v>231</v>
      </c>
    </row>
    <row r="29" spans="5:28" x14ac:dyDescent="0.3">
      <c r="E29" s="88"/>
      <c r="F29" s="89"/>
      <c r="G29" s="360"/>
      <c r="H29" s="1" t="s">
        <v>353</v>
      </c>
      <c r="S29" s="88"/>
      <c r="T29" s="89"/>
      <c r="U29" s="361"/>
      <c r="V29" s="1" t="s">
        <v>353</v>
      </c>
    </row>
    <row r="30" spans="5:28" x14ac:dyDescent="0.3">
      <c r="E30" s="88"/>
      <c r="F30" s="89"/>
      <c r="G30" s="360"/>
      <c r="H30" s="1" t="s">
        <v>232</v>
      </c>
      <c r="S30" s="88"/>
      <c r="T30" s="89"/>
      <c r="U30" s="361"/>
      <c r="V30" s="1" t="s">
        <v>232</v>
      </c>
    </row>
    <row r="31" spans="5:28" x14ac:dyDescent="0.3">
      <c r="E31" s="88"/>
      <c r="F31" s="89"/>
      <c r="G31" s="360"/>
      <c r="H31" s="1" t="s">
        <v>233</v>
      </c>
      <c r="S31" s="88"/>
      <c r="T31" s="89"/>
      <c r="U31" s="361"/>
      <c r="V31" s="1" t="s">
        <v>233</v>
      </c>
    </row>
    <row r="32" spans="5:28" x14ac:dyDescent="0.3">
      <c r="E32" s="88"/>
      <c r="F32" s="91"/>
      <c r="G32" s="360"/>
      <c r="H32" s="1" t="s">
        <v>234</v>
      </c>
      <c r="S32" s="88"/>
      <c r="T32" s="91"/>
      <c r="U32" s="361"/>
      <c r="V32" s="1" t="s">
        <v>234</v>
      </c>
    </row>
    <row r="33" spans="5:24" x14ac:dyDescent="0.3">
      <c r="E33" s="88"/>
      <c r="F33" s="91"/>
      <c r="W33" s="56"/>
    </row>
    <row r="34" spans="5:24" x14ac:dyDescent="0.3">
      <c r="E34" s="88"/>
      <c r="F34" s="91"/>
      <c r="I34" s="168" t="s">
        <v>618</v>
      </c>
      <c r="J34" s="392"/>
      <c r="K34" s="168" t="s">
        <v>236</v>
      </c>
      <c r="L34" s="341">
        <f>Summary!$K$8</f>
        <v>0</v>
      </c>
      <c r="W34" s="168" t="s">
        <v>46</v>
      </c>
      <c r="X34" s="374"/>
    </row>
    <row r="35" spans="5:24" x14ac:dyDescent="0.3">
      <c r="E35" s="90"/>
    </row>
  </sheetData>
  <sheetProtection algorithmName="SHA-512" hashValue="ph1wXPcxuLIT8U7pfT9IZb7DdpEX7C4XEd/vGeeUsKXIHDN+hCcKdxCVSfnH4L4DlwGwxzlluwDPMcXFBPRWjA==" saltValue="QufKihBEUFiZha6FYTvhJw==" spinCount="100000" sheet="1" objects="1" scenarios="1" selectLockedCells="1"/>
  <mergeCells count="22">
    <mergeCell ref="E15:N15"/>
    <mergeCell ref="E16:N16"/>
    <mergeCell ref="G26:N26"/>
    <mergeCell ref="H27:N27"/>
    <mergeCell ref="V18:AB18"/>
    <mergeCell ref="V21:AB21"/>
    <mergeCell ref="U26:AB26"/>
    <mergeCell ref="V27:AB27"/>
    <mergeCell ref="H18:N18"/>
    <mergeCell ref="H21:N21"/>
    <mergeCell ref="E2:N2"/>
    <mergeCell ref="E3:N3"/>
    <mergeCell ref="I6:M6"/>
    <mergeCell ref="I8:J8"/>
    <mergeCell ref="E14:N14"/>
    <mergeCell ref="E13:N13"/>
    <mergeCell ref="S2:AB2"/>
    <mergeCell ref="S3:AB3"/>
    <mergeCell ref="W6:AA6"/>
    <mergeCell ref="W8:X8"/>
    <mergeCell ref="S14:AB14"/>
    <mergeCell ref="S13:AB13"/>
  </mergeCells>
  <dataValidations count="4">
    <dataValidation type="list" allowBlank="1" showInputMessage="1" showErrorMessage="1" sqref="U18:U19 U21:U24 G18:G19 G21:G24" xr:uid="{00000000-0002-0000-0B00-000000000000}">
      <formula1>$C$11:$C$11</formula1>
    </dataValidation>
    <dataValidation type="list" allowBlank="1" showInputMessage="1" showErrorMessage="1" sqref="U30 G30" xr:uid="{F08D3438-D0C5-4E2B-AC2F-BA8E2719A5FD}">
      <formula1>$C$13:$C$16</formula1>
    </dataValidation>
    <dataValidation type="list" allowBlank="1" showInputMessage="1" showErrorMessage="1" sqref="U27:U28 G27:G28" xr:uid="{D06C8C65-8EED-42AC-93B6-8A72C4542793}">
      <formula1>$C$13:$C$15</formula1>
    </dataValidation>
    <dataValidation type="list" allowBlank="1" showInputMessage="1" showErrorMessage="1" sqref="G31:G32 U31:U32 U29 G29" xr:uid="{E09943F7-A82C-4CB9-8D85-4F9173B167B7}">
      <formula1>$C$13:$C$14</formula1>
    </dataValidation>
  </dataValidations>
  <pageMargins left="0.7" right="0.7" top="0.75" bottom="0.75" header="0.3" footer="0.3"/>
  <pageSetup scale="71" orientation="portrait" r:id="rId1"/>
  <headerFooter>
    <oddFooter>&amp;CTab: &amp;A&amp;RPrint Date: &amp;D</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5"/>
  <dimension ref="B2:AF41"/>
  <sheetViews>
    <sheetView showGridLines="0" view="pageBreakPreview" zoomScaleNormal="100" zoomScaleSheetLayoutView="100" workbookViewId="0">
      <selection activeCell="H19" sqref="H19:I19"/>
    </sheetView>
  </sheetViews>
  <sheetFormatPr defaultColWidth="9.109375" defaultRowHeight="15.6" x14ac:dyDescent="0.3"/>
  <cols>
    <col min="1" max="1" width="3.5546875" style="1" customWidth="1"/>
    <col min="2" max="3" width="9.109375" style="1" hidden="1" customWidth="1"/>
    <col min="4" max="5" width="4.88671875" style="1" customWidth="1"/>
    <col min="6" max="6" width="12.44140625" style="1" customWidth="1"/>
    <col min="7" max="7" width="16" style="1" customWidth="1"/>
    <col min="8" max="8" width="12.44140625" style="1" customWidth="1"/>
    <col min="9" max="9" width="3.88671875" style="1" customWidth="1"/>
    <col min="10" max="10" width="16.5546875" style="1" customWidth="1"/>
    <col min="11" max="11" width="12.44140625" style="1" customWidth="1"/>
    <col min="12" max="12" width="6.88671875" style="1" customWidth="1"/>
    <col min="13" max="13" width="4.44140625" style="1" customWidth="1"/>
    <col min="14" max="14" width="5.5546875" style="1" customWidth="1"/>
    <col min="15" max="15" width="5.88671875" style="1" customWidth="1"/>
    <col min="16" max="16" width="1.5546875" style="1" customWidth="1"/>
    <col min="17" max="17" width="3.5546875" style="1" customWidth="1"/>
    <col min="18" max="18" width="3.5546875" style="1" hidden="1" customWidth="1"/>
    <col min="19" max="19" width="0.88671875" style="1" hidden="1" customWidth="1"/>
    <col min="20" max="21" width="4.88671875" style="1" customWidth="1"/>
    <col min="22" max="22" width="12.44140625" style="1" customWidth="1"/>
    <col min="23" max="23" width="16" style="1" customWidth="1"/>
    <col min="24" max="24" width="12.44140625" style="1" customWidth="1"/>
    <col min="25" max="25" width="3.88671875" style="1" customWidth="1"/>
    <col min="26" max="26" width="16.5546875" style="1" customWidth="1"/>
    <col min="27" max="27" width="12.44140625" style="1" customWidth="1"/>
    <col min="28" max="28" width="6.88671875" style="1" customWidth="1"/>
    <col min="29" max="29" width="4.44140625" style="1" customWidth="1"/>
    <col min="30" max="30" width="5.5546875" style="1" customWidth="1"/>
    <col min="31" max="31" width="5.88671875" style="1" customWidth="1"/>
    <col min="32" max="32" width="1.5546875" style="1" customWidth="1"/>
    <col min="33" max="16384" width="9.109375" style="1"/>
  </cols>
  <sheetData>
    <row r="2" spans="2:32" x14ac:dyDescent="0.3">
      <c r="D2" s="410" t="s">
        <v>342</v>
      </c>
      <c r="E2" s="410"/>
      <c r="F2" s="410"/>
      <c r="G2" s="410"/>
      <c r="H2" s="410"/>
      <c r="I2" s="410"/>
      <c r="J2" s="410"/>
      <c r="K2" s="410"/>
      <c r="L2" s="410"/>
      <c r="M2" s="410"/>
      <c r="N2" s="410"/>
      <c r="O2" s="410"/>
      <c r="P2" s="410"/>
      <c r="T2" s="410" t="s">
        <v>342</v>
      </c>
      <c r="U2" s="410"/>
      <c r="V2" s="410"/>
      <c r="W2" s="410"/>
      <c r="X2" s="410"/>
      <c r="Y2" s="410"/>
      <c r="Z2" s="410"/>
      <c r="AA2" s="410"/>
      <c r="AB2" s="410"/>
      <c r="AC2" s="410"/>
      <c r="AD2" s="410"/>
      <c r="AE2" s="410"/>
      <c r="AF2" s="410"/>
    </row>
    <row r="3" spans="2:32" ht="16.2" thickBot="1" x14ac:dyDescent="0.35">
      <c r="D3" s="411" t="s">
        <v>53</v>
      </c>
      <c r="E3" s="411"/>
      <c r="F3" s="411"/>
      <c r="G3" s="411"/>
      <c r="H3" s="411"/>
      <c r="I3" s="411"/>
      <c r="J3" s="411"/>
      <c r="K3" s="411"/>
      <c r="L3" s="411"/>
      <c r="M3" s="411"/>
      <c r="N3" s="411"/>
      <c r="O3" s="411"/>
      <c r="P3" s="411"/>
      <c r="T3" s="411" t="s">
        <v>54</v>
      </c>
      <c r="U3" s="411"/>
      <c r="V3" s="411"/>
      <c r="W3" s="411"/>
      <c r="X3" s="411"/>
      <c r="Y3" s="411"/>
      <c r="Z3" s="411"/>
      <c r="AA3" s="411"/>
      <c r="AB3" s="411"/>
      <c r="AC3" s="411"/>
      <c r="AD3" s="411"/>
      <c r="AE3" s="411"/>
      <c r="AF3" s="411"/>
    </row>
    <row r="4" spans="2:32" x14ac:dyDescent="0.3">
      <c r="D4" s="2"/>
      <c r="E4" s="2"/>
      <c r="F4" s="2"/>
      <c r="G4" s="2"/>
      <c r="H4" s="2"/>
      <c r="I4" s="2"/>
      <c r="J4" s="2"/>
      <c r="K4" s="2"/>
      <c r="L4" s="2"/>
      <c r="M4" s="2"/>
      <c r="N4" s="2"/>
      <c r="O4" s="2"/>
      <c r="P4" s="2"/>
      <c r="T4" s="2"/>
      <c r="U4" s="2"/>
      <c r="V4" s="2"/>
      <c r="W4" s="2"/>
      <c r="X4" s="2"/>
      <c r="Y4" s="2"/>
      <c r="Z4" s="2"/>
      <c r="AA4" s="2"/>
      <c r="AB4" s="2"/>
      <c r="AC4" s="2"/>
      <c r="AD4" s="2"/>
      <c r="AE4" s="2"/>
      <c r="AF4" s="2"/>
    </row>
    <row r="5" spans="2:32" x14ac:dyDescent="0.3">
      <c r="B5" s="1" t="s">
        <v>113</v>
      </c>
      <c r="D5" s="2"/>
      <c r="E5" s="2"/>
      <c r="G5" s="56" t="s">
        <v>0</v>
      </c>
      <c r="H5" s="21" t="str">
        <f>IF(Summary!$E$5="","",Summary!$E$5)</f>
        <v/>
      </c>
      <c r="I5" s="86"/>
      <c r="J5" s="86"/>
      <c r="K5" s="86"/>
      <c r="L5" s="86"/>
      <c r="M5" s="86"/>
      <c r="N5" s="86"/>
      <c r="O5" s="86"/>
      <c r="P5" s="2"/>
      <c r="T5" s="2"/>
      <c r="U5" s="2"/>
      <c r="W5" s="56" t="s">
        <v>0</v>
      </c>
      <c r="X5" s="21" t="str">
        <f>IF(Summary!$S$5="","",Summary!$S$5)</f>
        <v/>
      </c>
      <c r="Y5" s="86"/>
      <c r="Z5" s="86"/>
      <c r="AA5" s="86"/>
      <c r="AB5" s="86"/>
      <c r="AC5" s="86"/>
      <c r="AD5" s="86"/>
      <c r="AE5" s="86"/>
      <c r="AF5" s="2"/>
    </row>
    <row r="6" spans="2:32" x14ac:dyDescent="0.3">
      <c r="B6" s="1" t="s">
        <v>114</v>
      </c>
      <c r="G6" s="56" t="s">
        <v>1</v>
      </c>
      <c r="H6" s="515" t="str">
        <f>IF(Summary!E6="","",Summary!E6)</f>
        <v/>
      </c>
      <c r="I6" s="516"/>
      <c r="J6" s="516"/>
      <c r="K6" s="516"/>
      <c r="L6" s="516"/>
      <c r="M6" s="517"/>
      <c r="N6" s="86"/>
      <c r="O6" s="86"/>
      <c r="W6" s="56" t="s">
        <v>1</v>
      </c>
      <c r="X6" s="515" t="str">
        <f>IF(Summary!$S6="","",Summary!$S6)</f>
        <v/>
      </c>
      <c r="Y6" s="516" t="str">
        <f>IF(Summary!$S6="","",Summary!$S6)</f>
        <v/>
      </c>
      <c r="Z6" s="516" t="str">
        <f>IF(Summary!$S6="","",Summary!$S6)</f>
        <v/>
      </c>
      <c r="AA6" s="516" t="str">
        <f>IF(Summary!$S6="","",Summary!$S6)</f>
        <v/>
      </c>
      <c r="AB6" s="516" t="str">
        <f>IF(Summary!$S6="","",Summary!$S6)</f>
        <v/>
      </c>
      <c r="AC6" s="517" t="str">
        <f>IF(Summary!$S6="","",Summary!$S6)</f>
        <v/>
      </c>
      <c r="AD6" s="86"/>
      <c r="AE6" s="86"/>
    </row>
    <row r="7" spans="2:32" x14ac:dyDescent="0.3">
      <c r="G7" s="56"/>
      <c r="H7" s="182"/>
      <c r="I7" s="182"/>
      <c r="J7" s="86"/>
      <c r="K7" s="86"/>
      <c r="L7" s="86"/>
      <c r="M7" s="86"/>
      <c r="N7" s="86"/>
      <c r="O7" s="86"/>
      <c r="W7" s="56"/>
      <c r="X7" s="182"/>
      <c r="Y7" s="182"/>
      <c r="Z7" s="86"/>
      <c r="AA7" s="86"/>
      <c r="AB7" s="86"/>
      <c r="AC7" s="86"/>
      <c r="AD7" s="86"/>
      <c r="AE7" s="86"/>
    </row>
    <row r="8" spans="2:32" x14ac:dyDescent="0.3">
      <c r="G8" s="56" t="s">
        <v>48</v>
      </c>
      <c r="H8" s="518" t="str">
        <f>IF(Summary!E8="","",Summary!E8)</f>
        <v/>
      </c>
      <c r="I8" s="518"/>
      <c r="J8" s="86"/>
      <c r="K8" s="86"/>
      <c r="L8" s="86"/>
      <c r="M8" s="86"/>
      <c r="N8" s="86"/>
      <c r="O8" s="86"/>
      <c r="W8" s="56" t="s">
        <v>48</v>
      </c>
      <c r="X8" s="518" t="str">
        <f>IF(Summary!$S8="","",Summary!$S8)</f>
        <v/>
      </c>
      <c r="Y8" s="518"/>
      <c r="Z8" s="86"/>
      <c r="AA8" s="86"/>
      <c r="AB8" s="86"/>
      <c r="AC8" s="86"/>
      <c r="AD8" s="86"/>
      <c r="AE8" s="86"/>
    </row>
    <row r="9" spans="2:32" x14ac:dyDescent="0.3">
      <c r="G9" s="56"/>
      <c r="H9" s="86"/>
      <c r="I9" s="86"/>
      <c r="J9" s="86"/>
      <c r="K9" s="86"/>
      <c r="L9" s="86"/>
      <c r="M9" s="86"/>
      <c r="N9" s="86"/>
      <c r="O9" s="86"/>
      <c r="W9" s="56"/>
      <c r="X9" s="86"/>
      <c r="Y9" s="86"/>
      <c r="Z9" s="86"/>
      <c r="AA9" s="86"/>
      <c r="AB9" s="86"/>
      <c r="AC9" s="86"/>
      <c r="AD9" s="86"/>
      <c r="AE9" s="86"/>
    </row>
    <row r="10" spans="2:32" x14ac:dyDescent="0.3">
      <c r="G10" s="56" t="s">
        <v>45</v>
      </c>
      <c r="H10" s="341">
        <f>IF(D22="",IF(H21&lt;&gt;"Yes",IF(L19&gt;5,5,L19),IF(L17&gt;5,5,L17)),0)</f>
        <v>0</v>
      </c>
      <c r="I10" s="86"/>
      <c r="J10" s="86"/>
      <c r="K10" s="86"/>
      <c r="L10" s="86"/>
      <c r="M10" s="86"/>
      <c r="N10" s="86"/>
      <c r="O10" s="86"/>
      <c r="W10" s="56" t="s">
        <v>46</v>
      </c>
      <c r="X10" s="341">
        <f>IF(T22="",IF(X21&lt;&gt;"Yes",IF(AB19&gt;5,5,AB19),IF(AB17&gt;5,5,AB17)),0)</f>
        <v>0</v>
      </c>
      <c r="Y10" s="86"/>
      <c r="Z10" s="86"/>
      <c r="AA10" s="86"/>
      <c r="AB10" s="86"/>
      <c r="AC10" s="86"/>
      <c r="AD10" s="86"/>
      <c r="AE10" s="86"/>
    </row>
    <row r="11" spans="2:32" ht="16.2" thickBot="1" x14ac:dyDescent="0.35">
      <c r="D11" s="3"/>
      <c r="E11" s="3"/>
      <c r="F11" s="3"/>
      <c r="G11" s="3"/>
      <c r="H11" s="3"/>
      <c r="I11" s="3"/>
      <c r="J11" s="3"/>
      <c r="K11" s="3"/>
      <c r="L11" s="3"/>
      <c r="M11" s="3"/>
      <c r="N11" s="3"/>
      <c r="O11" s="3"/>
      <c r="P11" s="3"/>
      <c r="T11" s="3"/>
      <c r="U11" s="3"/>
      <c r="V11" s="3"/>
      <c r="W11" s="3"/>
      <c r="X11" s="3"/>
      <c r="Y11" s="3"/>
      <c r="Z11" s="3"/>
      <c r="AA11" s="3"/>
      <c r="AB11" s="3"/>
      <c r="AC11" s="3"/>
      <c r="AD11" s="3"/>
      <c r="AE11" s="3"/>
      <c r="AF11" s="3"/>
    </row>
    <row r="13" spans="2:32" ht="93.75" customHeight="1" x14ac:dyDescent="0.3">
      <c r="D13" s="434" t="s">
        <v>621</v>
      </c>
      <c r="E13" s="539"/>
      <c r="F13" s="539"/>
      <c r="G13" s="539"/>
      <c r="H13" s="539"/>
      <c r="I13" s="539"/>
      <c r="J13" s="539"/>
      <c r="K13" s="539"/>
      <c r="L13" s="539"/>
      <c r="M13" s="539"/>
      <c r="N13" s="539"/>
      <c r="O13" s="539"/>
      <c r="P13" s="539"/>
      <c r="T13" s="434" t="s">
        <v>489</v>
      </c>
      <c r="U13" s="539"/>
      <c r="V13" s="539"/>
      <c r="W13" s="539"/>
      <c r="X13" s="539"/>
      <c r="Y13" s="539"/>
      <c r="Z13" s="539"/>
      <c r="AA13" s="539"/>
      <c r="AB13" s="539"/>
      <c r="AC13" s="539"/>
      <c r="AD13" s="539"/>
      <c r="AE13" s="539"/>
      <c r="AF13" s="539"/>
    </row>
    <row r="15" spans="2:32" ht="15.75" customHeight="1" x14ac:dyDescent="0.3">
      <c r="D15" s="575" t="s">
        <v>561</v>
      </c>
      <c r="E15" s="443"/>
      <c r="F15" s="443"/>
      <c r="G15" s="443"/>
      <c r="H15" s="443"/>
      <c r="I15" s="443"/>
      <c r="J15" s="443"/>
      <c r="K15" s="443"/>
      <c r="L15" s="443"/>
      <c r="M15" s="443"/>
      <c r="N15" s="443"/>
      <c r="O15" s="443"/>
      <c r="P15" s="443"/>
      <c r="T15" s="575" t="s">
        <v>561</v>
      </c>
      <c r="U15" s="443"/>
      <c r="V15" s="443"/>
      <c r="W15" s="443"/>
      <c r="X15" s="443"/>
      <c r="Y15" s="443"/>
      <c r="Z15" s="443"/>
      <c r="AA15" s="443"/>
      <c r="AB15" s="443"/>
      <c r="AC15" s="443"/>
      <c r="AD15" s="443"/>
      <c r="AE15" s="443"/>
      <c r="AF15" s="443"/>
    </row>
    <row r="16" spans="2:32" ht="10.5" customHeight="1" x14ac:dyDescent="0.3">
      <c r="D16" s="183"/>
      <c r="E16" s="183"/>
      <c r="F16" s="183"/>
      <c r="G16" s="183"/>
      <c r="H16" s="183"/>
      <c r="I16" s="183"/>
      <c r="J16" s="183"/>
      <c r="K16" s="183"/>
      <c r="L16" s="183"/>
      <c r="M16" s="183"/>
      <c r="N16" s="183"/>
      <c r="O16" s="183"/>
      <c r="P16" s="183"/>
      <c r="T16" s="183"/>
      <c r="U16" s="183"/>
      <c r="V16" s="183"/>
      <c r="W16" s="183"/>
      <c r="X16" s="183"/>
      <c r="Y16" s="183"/>
      <c r="Z16" s="183"/>
      <c r="AA16" s="183"/>
      <c r="AB16" s="183"/>
      <c r="AC16" s="183"/>
      <c r="AD16" s="183"/>
      <c r="AE16" s="183"/>
      <c r="AF16" s="183"/>
    </row>
    <row r="17" spans="2:32" x14ac:dyDescent="0.3">
      <c r="K17" s="56" t="s">
        <v>566</v>
      </c>
      <c r="L17" s="5">
        <f>IF(D22="",IF(H21="Yes",ROUNDUP((L19*O19/O$17+L23*O23/O$17+L25*O25/O$17+L27*O27/O$17+L29*O29/O$17+L31*O31/O$17+L33*O33/O$17+L35*O35/O$17+L37*O37/O$17+L39*O39/O$17+L41*O41/O$17),0),L19),"ERROR")</f>
        <v>0</v>
      </c>
      <c r="M17" s="1" t="str">
        <f>IF(H21="Yes","Total","")</f>
        <v/>
      </c>
      <c r="N17" s="56" t="s">
        <v>125</v>
      </c>
      <c r="O17" s="5">
        <f>Summary!$K$8</f>
        <v>0</v>
      </c>
      <c r="AA17" s="56" t="s">
        <v>566</v>
      </c>
      <c r="AB17" s="5">
        <f>IF(X21="Yes",ROUNDUP((AB19*AE19/AE$17+AB23*AE23/AE$17+AB25*AE25/AE$17+AB27*AE27/AE$17+AB29*AE29/AE$17+AB31*AE31/AE$17+AB33*AE33/AE$17+AB35*AE35/AE$17+AB37*AE37/AE$17+AB39*AE39/AE$17+AB41*AE41/AE$17),0),AB19)</f>
        <v>0</v>
      </c>
      <c r="AC17" s="1" t="str">
        <f>IF(X21="Yes","Total","")</f>
        <v/>
      </c>
      <c r="AD17" s="1" t="s">
        <v>125</v>
      </c>
      <c r="AE17" s="5">
        <f>Summary!$Y$8</f>
        <v>0</v>
      </c>
    </row>
    <row r="18" spans="2:32" ht="15" customHeight="1" x14ac:dyDescent="0.3"/>
    <row r="19" spans="2:32" ht="15" customHeight="1" x14ac:dyDescent="0.3">
      <c r="F19" s="8"/>
      <c r="G19" s="56" t="s">
        <v>124</v>
      </c>
      <c r="H19" s="576"/>
      <c r="I19" s="577"/>
      <c r="K19" s="56" t="s">
        <v>123</v>
      </c>
      <c r="L19" s="158"/>
      <c r="N19" s="56" t="str">
        <f>IF(H21="Yes","Units:","")</f>
        <v/>
      </c>
      <c r="O19" s="229"/>
      <c r="V19" s="8"/>
      <c r="W19" s="56" t="s">
        <v>124</v>
      </c>
      <c r="X19" s="573"/>
      <c r="Y19" s="574"/>
      <c r="AA19" s="56" t="s">
        <v>123</v>
      </c>
      <c r="AB19" s="94"/>
      <c r="AD19" s="56" t="str">
        <f>IF(X21="Yes","Units:","")</f>
        <v/>
      </c>
    </row>
    <row r="20" spans="2:32" s="8" customFormat="1" x14ac:dyDescent="0.3"/>
    <row r="21" spans="2:32" s="8" customFormat="1" x14ac:dyDescent="0.3">
      <c r="G21" s="56" t="s">
        <v>567</v>
      </c>
      <c r="H21" s="32"/>
      <c r="I21" s="454" t="str">
        <f>IF(H21="Yes","Provide additional scoring census tract information below","")</f>
        <v/>
      </c>
      <c r="J21" s="455"/>
      <c r="K21" s="455"/>
      <c r="L21" s="455"/>
      <c r="M21" s="455"/>
      <c r="N21" s="455"/>
      <c r="O21" s="455"/>
      <c r="P21" s="455"/>
      <c r="W21" s="56" t="s">
        <v>567</v>
      </c>
      <c r="X21" s="82"/>
      <c r="Y21" s="454" t="str">
        <f>IF(X21="Yes","Provide additional scoring census tract information below","")</f>
        <v/>
      </c>
      <c r="Z21" s="455"/>
      <c r="AA21" s="455"/>
      <c r="AB21" s="455"/>
      <c r="AC21" s="455"/>
      <c r="AD21" s="455"/>
      <c r="AE21" s="455"/>
      <c r="AF21" s="455"/>
    </row>
    <row r="22" spans="2:32" s="8" customFormat="1" x14ac:dyDescent="0.3">
      <c r="D22" s="455" t="str">
        <f>IF(OR(H21="",H21="No"),
IF(AND(L19&lt;&gt;"",H19=""),"ERROR: INDICATE CENSUS TRACT NUMBER",""),
IF(OR(AND(L19&lt;&gt;"",OR(O19="",H19="")),AND(L23&lt;&gt;"",OR(O23="",H23="")),AND(L25&lt;&gt;"",OR(O25="",H25="")),AND(L27&lt;&gt;"",OR(O27="",H27="")),AND(L29&lt;&gt;"",OR(O29="",H29="")),AND(L31&lt;&gt;"",OR(O31="",H31="")),AND(L33&lt;&gt;"",OR(O33="",H33="")),AND(L35&lt;&gt;"",OR(O35="",H35="")),AND(L37&lt;&gt;"",OR(O37="",H37="")),AND(L39&lt;&gt;"",OR(O39="",H39="")),AND(L41&lt;&gt;"",OR(O41="",H41=""))),"ERROR: INDICATE CENSUS TRACT NUMBER AND UNITS FOR ALL CENSUS TRACTS","")
)</f>
        <v/>
      </c>
      <c r="E22" s="455"/>
      <c r="F22" s="455"/>
      <c r="G22" s="455"/>
      <c r="H22" s="455"/>
      <c r="I22" s="455"/>
      <c r="J22" s="455"/>
      <c r="K22" s="455"/>
      <c r="L22" s="455"/>
      <c r="M22" s="455"/>
      <c r="N22" s="455"/>
      <c r="O22" s="455"/>
      <c r="P22" s="455"/>
      <c r="T22" s="455" t="str">
        <f>IF(OR(X21="",X21="No"),
IF(AND(AB19&lt;&gt;"",X19=""),"ERROR: INDICATE CENSUS TRACT NUMBER",""),
IF(OR(AND(AB19&lt;&gt;"",OR(AE19="",X19="")),AND(AB23&lt;&gt;"",OR(AE23="",X23="")),AND(AB25&lt;&gt;"",OR(AE25="",X25="")),AND(AB27&lt;&gt;"",OR(AE27="",X27="")),AND(AB29&lt;&gt;"",OR(AE29="",X29="")),AND(AB31&lt;&gt;"",OR(AE31="",X31="")),AND(AB33&lt;&gt;"",OR(AE33="",X33="")),AND(AB35&lt;&gt;"",OR(AE35="",X35="")),AND(AB37&lt;&gt;"",OR(AE37="",X37="")),AND(AB39&lt;&gt;"",OR(AE39="",X39="")),AND(AB41&lt;&gt;"",OR(AE41="",X41=""))),"ERROR: INDICATE CENSUS TRACT NUMBER AND UNITS FOR ALL CENSUS TRACTS","")
)</f>
        <v/>
      </c>
      <c r="U22" s="455"/>
      <c r="V22" s="455"/>
      <c r="W22" s="455"/>
      <c r="X22" s="455"/>
      <c r="Y22" s="455"/>
      <c r="Z22" s="455"/>
      <c r="AA22" s="455"/>
      <c r="AB22" s="455"/>
      <c r="AC22" s="455"/>
      <c r="AD22" s="455"/>
      <c r="AE22" s="455"/>
      <c r="AF22" s="455"/>
    </row>
    <row r="23" spans="2:32" ht="15" customHeight="1" x14ac:dyDescent="0.3">
      <c r="F23" s="8"/>
      <c r="G23" s="56" t="str">
        <f>IF($H$21="Yes","Census Tract Number (11-digit FIPS code):","")</f>
        <v/>
      </c>
      <c r="H23" s="572"/>
      <c r="I23" s="572"/>
      <c r="K23" s="56" t="str">
        <f>IF($H$21="Yes","Affordability Risk Index Score:","")</f>
        <v/>
      </c>
      <c r="L23" s="229"/>
      <c r="N23" s="56" t="str">
        <f>IF($H$21="Yes","Units:","")</f>
        <v/>
      </c>
      <c r="O23" s="229"/>
      <c r="V23" s="8"/>
      <c r="W23" s="56" t="str">
        <f>IF($X$21="Yes","Census Tract Number (11-digit FIPS code):","")</f>
        <v/>
      </c>
      <c r="X23" s="571"/>
      <c r="Y23" s="571"/>
      <c r="AA23" s="56" t="str">
        <f>IF($X$21="Yes","Affordability Risk Index Score:","")</f>
        <v/>
      </c>
      <c r="AD23" s="56" t="str">
        <f>IF($X$21="Yes","Units:","")</f>
        <v/>
      </c>
    </row>
    <row r="24" spans="2:32" x14ac:dyDescent="0.3">
      <c r="D24" s="9"/>
      <c r="E24" s="9"/>
      <c r="F24" s="7"/>
      <c r="T24" s="9"/>
      <c r="U24" s="9"/>
      <c r="V24" s="7"/>
    </row>
    <row r="25" spans="2:32" ht="15" customHeight="1" x14ac:dyDescent="0.3">
      <c r="F25" s="8"/>
      <c r="G25" s="56" t="str">
        <f>IF($H$21="Yes","Census Tract Number (11-digit FIPS code):","")</f>
        <v/>
      </c>
      <c r="H25" s="572"/>
      <c r="I25" s="572"/>
      <c r="K25" s="56" t="str">
        <f>IF($H$21="Yes","Affordability Risk Index Score:","")</f>
        <v/>
      </c>
      <c r="L25" s="229"/>
      <c r="N25" s="56" t="str">
        <f>IF($H$21="Yes","Units:","")</f>
        <v/>
      </c>
      <c r="O25" s="229"/>
      <c r="V25" s="8"/>
      <c r="W25" s="56" t="str">
        <f>IF($X$21="Yes","Census Tract Number (11-digit FIPS code):","")</f>
        <v/>
      </c>
      <c r="X25" s="571"/>
      <c r="Y25" s="571"/>
      <c r="AA25" s="56" t="str">
        <f>IF($X$21="Yes","Affordability Risk Index Score:","")</f>
        <v/>
      </c>
      <c r="AD25" s="56" t="str">
        <f>IF($X$21="Yes","Units:","")</f>
        <v/>
      </c>
    </row>
    <row r="26" spans="2:32" x14ac:dyDescent="0.3">
      <c r="B26" s="8"/>
    </row>
    <row r="27" spans="2:32" ht="15" customHeight="1" x14ac:dyDescent="0.3">
      <c r="F27" s="8"/>
      <c r="G27" s="56" t="str">
        <f>IF($H$21="Yes","Census Tract Number (11-digit FIPS code):","")</f>
        <v/>
      </c>
      <c r="H27" s="572"/>
      <c r="I27" s="572"/>
      <c r="K27" s="56" t="str">
        <f>IF($H$21="Yes","Affordability Risk Index Score:","")</f>
        <v/>
      </c>
      <c r="L27" s="229"/>
      <c r="N27" s="56" t="str">
        <f>IF($H$21="Yes","Units:","")</f>
        <v/>
      </c>
      <c r="O27" s="229"/>
      <c r="V27" s="8"/>
      <c r="W27" s="56" t="str">
        <f>IF($X$21="Yes","Census Tract Number (11-digit FIPS code):","")</f>
        <v/>
      </c>
      <c r="X27" s="571"/>
      <c r="Y27" s="571"/>
      <c r="AA27" s="56" t="str">
        <f>IF($X$21="Yes","Affordability Risk Index Score:","")</f>
        <v/>
      </c>
      <c r="AD27" s="56" t="str">
        <f>IF($X$21="Yes","Units:","")</f>
        <v/>
      </c>
    </row>
    <row r="29" spans="2:32" ht="15" customHeight="1" x14ac:dyDescent="0.3">
      <c r="F29" s="8"/>
      <c r="G29" s="56" t="str">
        <f>IF($H$21="Yes","Census Tract Number (11-digit FIPS code):","")</f>
        <v/>
      </c>
      <c r="H29" s="572"/>
      <c r="I29" s="572"/>
      <c r="K29" s="56" t="str">
        <f>IF($H$21="Yes","Affordability Risk Index Score:","")</f>
        <v/>
      </c>
      <c r="L29" s="229"/>
      <c r="N29" s="56" t="str">
        <f>IF($H$21="Yes","Units:","")</f>
        <v/>
      </c>
      <c r="O29" s="229"/>
      <c r="V29" s="8"/>
      <c r="W29" s="56" t="str">
        <f>IF($X$21="Yes","Census Tract Number (11-digit FIPS code):","")</f>
        <v/>
      </c>
      <c r="X29" s="571"/>
      <c r="Y29" s="571"/>
      <c r="AA29" s="56" t="str">
        <f>IF($X$21="Yes","Affordability Risk Index Score:","")</f>
        <v/>
      </c>
      <c r="AD29" s="56" t="str">
        <f>IF($X$21="Yes","Units:","")</f>
        <v/>
      </c>
    </row>
    <row r="31" spans="2:32" ht="15" customHeight="1" x14ac:dyDescent="0.3">
      <c r="F31" s="8"/>
      <c r="G31" s="56" t="str">
        <f>IF($H$21="Yes","Census Tract Number (11-digit FIPS code):","")</f>
        <v/>
      </c>
      <c r="H31" s="572"/>
      <c r="I31" s="572"/>
      <c r="K31" s="56" t="str">
        <f>IF($H$21="Yes","Affordability Risk Index Score:","")</f>
        <v/>
      </c>
      <c r="L31" s="229"/>
      <c r="N31" s="56" t="str">
        <f>IF($H$21="Yes","Units:","")</f>
        <v/>
      </c>
      <c r="O31" s="229"/>
      <c r="V31" s="8"/>
      <c r="W31" s="56" t="str">
        <f>IF($X$21="Yes","Census Tract Number (11-digit FIPS code):","")</f>
        <v/>
      </c>
      <c r="X31" s="571"/>
      <c r="Y31" s="571"/>
      <c r="AA31" s="56" t="str">
        <f>IF($X$21="Yes","Affordability Risk Index Score:","")</f>
        <v/>
      </c>
      <c r="AD31" s="56" t="str">
        <f>IF($X$21="Yes","Units:","")</f>
        <v/>
      </c>
    </row>
    <row r="33" spans="4:30" x14ac:dyDescent="0.3">
      <c r="F33" s="8"/>
      <c r="G33" s="56" t="str">
        <f>IF($H$21="Yes","Census Tract Number (11-digit FIPS code):","")</f>
        <v/>
      </c>
      <c r="H33" s="572"/>
      <c r="I33" s="572"/>
      <c r="K33" s="56" t="str">
        <f>IF($H$21="Yes","Affordability Risk Index Score:","")</f>
        <v/>
      </c>
      <c r="L33" s="229"/>
      <c r="N33" s="56" t="str">
        <f>IF($H$21="Yes","Units:","")</f>
        <v/>
      </c>
      <c r="O33" s="229"/>
      <c r="V33" s="8"/>
      <c r="W33" s="56" t="str">
        <f>IF($X$21="Yes","Census Tract Number (11-digit FIPS code):","")</f>
        <v/>
      </c>
      <c r="X33" s="571"/>
      <c r="Y33" s="571"/>
      <c r="AA33" s="56" t="str">
        <f>IF($X$21="Yes","Affordability Risk Index Score:","")</f>
        <v/>
      </c>
      <c r="AD33" s="56" t="str">
        <f>IF($X$21="Yes","Units:","")</f>
        <v/>
      </c>
    </row>
    <row r="34" spans="4:30" x14ac:dyDescent="0.3">
      <c r="D34" s="9"/>
      <c r="E34" s="9"/>
      <c r="F34" s="7"/>
      <c r="T34" s="9"/>
      <c r="U34" s="9"/>
      <c r="V34" s="7"/>
    </row>
    <row r="35" spans="4:30" x14ac:dyDescent="0.3">
      <c r="F35" s="8"/>
      <c r="G35" s="56" t="str">
        <f>IF($H$21="Yes","Census Tract Number (11-digit FIPS code):","")</f>
        <v/>
      </c>
      <c r="H35" s="572"/>
      <c r="I35" s="572"/>
      <c r="K35" s="56" t="str">
        <f>IF($H$21="Yes","Affordability Risk Index Score:","")</f>
        <v/>
      </c>
      <c r="L35" s="229"/>
      <c r="N35" s="56" t="str">
        <f>IF($H$21="Yes","Units:","")</f>
        <v/>
      </c>
      <c r="O35" s="229"/>
      <c r="V35" s="8"/>
      <c r="W35" s="56" t="str">
        <f>IF($X$21="Yes","Census Tract Number (11-digit FIPS code):","")</f>
        <v/>
      </c>
      <c r="X35" s="571"/>
      <c r="Y35" s="571"/>
      <c r="AA35" s="56" t="str">
        <f>IF($X$21="Yes","Affordability Risk Index Score:","")</f>
        <v/>
      </c>
      <c r="AD35" s="56" t="str">
        <f>IF($X$21="Yes","Units:","")</f>
        <v/>
      </c>
    </row>
    <row r="37" spans="4:30" x14ac:dyDescent="0.3">
      <c r="F37" s="8"/>
      <c r="G37" s="56" t="str">
        <f>IF($H$21="Yes","Census Tract Number (11-digit FIPS code):","")</f>
        <v/>
      </c>
      <c r="H37" s="572"/>
      <c r="I37" s="572"/>
      <c r="K37" s="56" t="str">
        <f>IF($H$21="Yes","Affordability Risk Index Score:","")</f>
        <v/>
      </c>
      <c r="L37" s="229"/>
      <c r="N37" s="56" t="str">
        <f>IF($H$21="Yes","Units:","")</f>
        <v/>
      </c>
      <c r="O37" s="229"/>
      <c r="V37" s="8"/>
      <c r="W37" s="56" t="str">
        <f>IF($X$21="Yes","Census Tract Number (11-digit FIPS code):","")</f>
        <v/>
      </c>
      <c r="X37" s="571"/>
      <c r="Y37" s="571"/>
      <c r="AA37" s="56" t="str">
        <f>IF($X$21="Yes","Affordability Risk Index Score:","")</f>
        <v/>
      </c>
      <c r="AD37" s="56" t="str">
        <f>IF($X$21="Yes","Units:","")</f>
        <v/>
      </c>
    </row>
    <row r="39" spans="4:30" x14ac:dyDescent="0.3">
      <c r="F39" s="8"/>
      <c r="G39" s="56" t="str">
        <f>IF($H$21="Yes","Census Tract Number (11-digit FIPS code):","")</f>
        <v/>
      </c>
      <c r="H39" s="572"/>
      <c r="I39" s="572"/>
      <c r="K39" s="56" t="str">
        <f>IF($H$21="Yes","Affordability Risk Index Score:","")</f>
        <v/>
      </c>
      <c r="L39" s="229"/>
      <c r="N39" s="56" t="str">
        <f>IF($H$21="Yes","Units:","")</f>
        <v/>
      </c>
      <c r="O39" s="229"/>
      <c r="V39" s="8"/>
      <c r="W39" s="56" t="str">
        <f>IF($X$21="Yes","Census Tract Number (11-digit FIPS code):","")</f>
        <v/>
      </c>
      <c r="X39" s="571"/>
      <c r="Y39" s="571"/>
      <c r="AA39" s="56" t="str">
        <f>IF($X$21="Yes","Affordability Risk Index Score:","")</f>
        <v/>
      </c>
      <c r="AD39" s="56" t="str">
        <f>IF($X$21="Yes","Units:","")</f>
        <v/>
      </c>
    </row>
    <row r="41" spans="4:30" x14ac:dyDescent="0.3">
      <c r="F41" s="8"/>
      <c r="G41" s="56" t="str">
        <f>IF($H$21="Yes","Census Tract Number (11-digit FIPS code):","")</f>
        <v/>
      </c>
      <c r="H41" s="572"/>
      <c r="I41" s="572"/>
      <c r="K41" s="56" t="str">
        <f>IF($H$21="Yes","Affordability Risk Index Score:","")</f>
        <v/>
      </c>
      <c r="L41" s="229"/>
      <c r="N41" s="56" t="str">
        <f>IF($H$21="Yes","Units:","")</f>
        <v/>
      </c>
      <c r="O41" s="229"/>
      <c r="V41" s="8"/>
      <c r="W41" s="56" t="str">
        <f>IF($X$21="Yes","Census Tract Number (11-digit FIPS code):","")</f>
        <v/>
      </c>
      <c r="X41" s="571"/>
      <c r="Y41" s="571"/>
      <c r="AA41" s="56" t="str">
        <f>IF($X$21="Yes","Affordability Risk Index Score:","")</f>
        <v/>
      </c>
      <c r="AD41" s="56" t="str">
        <f>IF($X$21="Yes","Units:","")</f>
        <v/>
      </c>
    </row>
  </sheetData>
  <sheetProtection algorithmName="SHA-512" hashValue="8RQP7j5BXbf/OcoUSP2Bu4FOJPYzWE4BHIFEoKNy5lT7jvMiHpq9SsC8o7ujG5gwH4nQud7UjQyzz0cz62UWaw==" saltValue="Z5AaBOrvjjhkf44FbC8BRw==" spinCount="100000" sheet="1" objects="1" scenarios="1" selectLockedCells="1"/>
  <mergeCells count="38">
    <mergeCell ref="I21:P21"/>
    <mergeCell ref="D15:P15"/>
    <mergeCell ref="H19:I19"/>
    <mergeCell ref="T15:AF15"/>
    <mergeCell ref="Y21:AF21"/>
    <mergeCell ref="H8:I8"/>
    <mergeCell ref="X8:Y8"/>
    <mergeCell ref="X19:Y19"/>
    <mergeCell ref="D2:P2"/>
    <mergeCell ref="D3:P3"/>
    <mergeCell ref="H6:M6"/>
    <mergeCell ref="T2:AF2"/>
    <mergeCell ref="T3:AF3"/>
    <mergeCell ref="X6:AC6"/>
    <mergeCell ref="D13:P13"/>
    <mergeCell ref="T13:AF13"/>
    <mergeCell ref="X39:Y39"/>
    <mergeCell ref="X41:Y41"/>
    <mergeCell ref="H33:I33"/>
    <mergeCell ref="H35:I35"/>
    <mergeCell ref="H37:I37"/>
    <mergeCell ref="H39:I39"/>
    <mergeCell ref="H41:I41"/>
    <mergeCell ref="D22:P22"/>
    <mergeCell ref="T22:AF22"/>
    <mergeCell ref="X33:Y33"/>
    <mergeCell ref="X35:Y35"/>
    <mergeCell ref="X37:Y37"/>
    <mergeCell ref="H31:I31"/>
    <mergeCell ref="X31:Y31"/>
    <mergeCell ref="X23:Y23"/>
    <mergeCell ref="H25:I25"/>
    <mergeCell ref="X25:Y25"/>
    <mergeCell ref="H27:I27"/>
    <mergeCell ref="X27:Y27"/>
    <mergeCell ref="H29:I29"/>
    <mergeCell ref="X29:Y29"/>
    <mergeCell ref="H23:I23"/>
  </mergeCells>
  <conditionalFormatting sqref="O31 H23:I23 H25:I25 H27:I27 H29:I29 H31:I31 H33:I33 H35:I35 H37:I37 H39:I39 H41:I41 L41 L39 L37 L35 L33 L31 L29 L27 L25 L23 O23 O25 O27 O29 O33 O35 O37 O39 O41 O19">
    <cfRule type="expression" dxfId="10" priority="19">
      <formula>$H$21="Yes"</formula>
    </cfRule>
  </conditionalFormatting>
  <conditionalFormatting sqref="X23:Y23 X25:Y25 X27:Y27 X29:Y29 X31:Y31 AB23 AB25 AB27 AB29 AB31">
    <cfRule type="expression" dxfId="9" priority="16">
      <formula>$X$21="Yes"</formula>
    </cfRule>
  </conditionalFormatting>
  <conditionalFormatting sqref="AE23 AE25 AE27 AE29 AE31 AE19">
    <cfRule type="expression" dxfId="8" priority="15">
      <formula>$X$21="Yes"</formula>
    </cfRule>
  </conditionalFormatting>
  <conditionalFormatting sqref="L17">
    <cfRule type="expression" dxfId="7" priority="11">
      <formula>OR($H$21="No",$H$21="")</formula>
    </cfRule>
  </conditionalFormatting>
  <conditionalFormatting sqref="O33 O35 O37 O39 O41">
    <cfRule type="expression" dxfId="6" priority="8">
      <formula>$H$21="Yes"</formula>
    </cfRule>
  </conditionalFormatting>
  <conditionalFormatting sqref="X33:Y33 X35:Y35 X37:Y37 X39:Y39 X41:Y41 AB33 AB35 AB37 AB39 AB41">
    <cfRule type="expression" dxfId="5" priority="7">
      <formula>$X$21="Yes"</formula>
    </cfRule>
  </conditionalFormatting>
  <conditionalFormatting sqref="AE33 AE35 AE37 AE39 AE41">
    <cfRule type="expression" dxfId="4" priority="6">
      <formula>$X$21="Yes"</formula>
    </cfRule>
  </conditionalFormatting>
  <conditionalFormatting sqref="O17">
    <cfRule type="expression" dxfId="3" priority="4">
      <formula>$H$21="Yes"</formula>
    </cfRule>
  </conditionalFormatting>
  <conditionalFormatting sqref="O19">
    <cfRule type="expression" dxfId="2" priority="3">
      <formula>$H$21="Yes"</formula>
    </cfRule>
  </conditionalFormatting>
  <conditionalFormatting sqref="AB17">
    <cfRule type="expression" dxfId="1" priority="2">
      <formula>OR($X$21="No",$X$21="")</formula>
    </cfRule>
  </conditionalFormatting>
  <conditionalFormatting sqref="AE19">
    <cfRule type="expression" dxfId="0" priority="1">
      <formula>$X$21="Yes"</formula>
    </cfRule>
  </conditionalFormatting>
  <dataValidations count="3">
    <dataValidation type="list" allowBlank="1" showInputMessage="1" showErrorMessage="1" sqref="H21 X21" xr:uid="{00000000-0002-0000-0C00-000000000000}">
      <formula1>$B$5:$B$6</formula1>
    </dataValidation>
    <dataValidation type="textLength" allowBlank="1" showInputMessage="1" showErrorMessage="1" sqref="H19:I19 H23:I23 H25:I25 H27:I27 H29:I29 H31:I31 H33:I33 H35:I35 H37:I37 H39:I39 H41:I41 X41:Y41 X39:Y39 X37:Y37 X35:Y35 X33:Y33 X31:Y31 X29:Y29 X27:Y27 X25:Y25 X23:Y23 X19:Y19" xr:uid="{8C95EDEB-6A20-4483-8A95-CFCA8107DE2E}">
      <formula1>11</formula1>
      <formula2>11</formula2>
    </dataValidation>
    <dataValidation type="whole" allowBlank="1" showInputMessage="1" showErrorMessage="1" sqref="L19 L23 L25 L27 L29 L31 L33 L35 L37 L39 L41 AB41 AB39 AB37 AB35 AB33 AB31 AB29 AB27 AB25 AB23 AB19" xr:uid="{B4081AFB-D8E2-4094-B57B-B6C3891D7095}">
      <formula1>0</formula1>
      <formula2>5</formula2>
    </dataValidation>
  </dataValidations>
  <pageMargins left="0.7" right="0.7" top="0.75" bottom="0.75" header="0.3" footer="0.3"/>
  <pageSetup scale="71" orientation="portrait" r:id="rId1"/>
  <headerFooter>
    <oddFooter>&amp;CTab: &amp;A&amp;RPrint Date: &amp;D</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4"/>
  <dimension ref="B1:AA40"/>
  <sheetViews>
    <sheetView showGridLines="0" view="pageBreakPreview" zoomScaleNormal="100" zoomScaleSheetLayoutView="100" workbookViewId="0">
      <selection activeCell="F15" sqref="F15"/>
    </sheetView>
  </sheetViews>
  <sheetFormatPr defaultColWidth="9.109375" defaultRowHeight="15.6" x14ac:dyDescent="0.3"/>
  <cols>
    <col min="1" max="1" width="3.5546875" style="1" customWidth="1"/>
    <col min="2" max="2" width="9.109375" style="31" hidden="1" customWidth="1"/>
    <col min="3" max="4" width="4.88671875" style="1" customWidth="1"/>
    <col min="5" max="5" width="12.44140625" style="1" customWidth="1"/>
    <col min="6" max="6" width="14.5546875" style="1" customWidth="1"/>
    <col min="7" max="12" width="12.44140625" style="1" customWidth="1"/>
    <col min="13" max="13" width="2.5546875" style="30" hidden="1" customWidth="1"/>
    <col min="14" max="14" width="3.5546875" style="1" customWidth="1"/>
    <col min="15" max="15" width="18.44140625" style="31" hidden="1" customWidth="1"/>
    <col min="16" max="17" width="4.88671875" style="1" customWidth="1"/>
    <col min="18" max="18" width="12.44140625" style="1" customWidth="1"/>
    <col min="19" max="19" width="14.5546875" style="1" customWidth="1"/>
    <col min="20" max="25" width="12.44140625" style="1" customWidth="1"/>
    <col min="26" max="26" width="9.109375" style="30" hidden="1" customWidth="1"/>
    <col min="27" max="16384" width="9.109375" style="1"/>
  </cols>
  <sheetData>
    <row r="1" spans="2:27" x14ac:dyDescent="0.3">
      <c r="M1" s="41" t="s">
        <v>108</v>
      </c>
      <c r="N1" s="50"/>
    </row>
    <row r="2" spans="2:27" x14ac:dyDescent="0.3">
      <c r="C2" s="410" t="s">
        <v>94</v>
      </c>
      <c r="D2" s="410"/>
      <c r="E2" s="410"/>
      <c r="F2" s="410"/>
      <c r="G2" s="410"/>
      <c r="H2" s="410"/>
      <c r="I2" s="410"/>
      <c r="J2" s="410"/>
      <c r="K2" s="410"/>
      <c r="L2" s="410"/>
      <c r="M2" s="41"/>
      <c r="N2" s="50"/>
      <c r="P2" s="410" t="s">
        <v>94</v>
      </c>
      <c r="Q2" s="410"/>
      <c r="R2" s="410"/>
      <c r="S2" s="410"/>
      <c r="T2" s="410"/>
      <c r="U2" s="410"/>
      <c r="V2" s="410"/>
      <c r="W2" s="410"/>
      <c r="X2" s="410"/>
      <c r="Y2" s="410"/>
    </row>
    <row r="3" spans="2:27" ht="16.2" thickBot="1" x14ac:dyDescent="0.35">
      <c r="C3" s="411" t="s">
        <v>54</v>
      </c>
      <c r="D3" s="411"/>
      <c r="E3" s="411"/>
      <c r="F3" s="411"/>
      <c r="G3" s="411"/>
      <c r="H3" s="411"/>
      <c r="I3" s="411"/>
      <c r="J3" s="411"/>
      <c r="K3" s="411"/>
      <c r="L3" s="411"/>
      <c r="M3" s="40" t="s">
        <v>24</v>
      </c>
      <c r="N3" s="50"/>
      <c r="P3" s="411" t="s">
        <v>54</v>
      </c>
      <c r="Q3" s="411"/>
      <c r="R3" s="411"/>
      <c r="S3" s="411"/>
      <c r="T3" s="411"/>
      <c r="U3" s="411"/>
      <c r="V3" s="411"/>
      <c r="W3" s="411"/>
      <c r="X3" s="411"/>
      <c r="Y3" s="411"/>
    </row>
    <row r="4" spans="2:27" x14ac:dyDescent="0.3">
      <c r="C4" s="2"/>
      <c r="D4" s="2"/>
      <c r="E4" s="2"/>
      <c r="F4" s="2"/>
      <c r="G4" s="2"/>
      <c r="H4" s="2"/>
      <c r="I4" s="2"/>
      <c r="J4" s="2"/>
      <c r="K4" s="2"/>
      <c r="L4" s="2"/>
      <c r="M4" s="40" t="s">
        <v>25</v>
      </c>
      <c r="N4" s="50"/>
      <c r="P4" s="2"/>
      <c r="Q4" s="2"/>
      <c r="R4" s="2"/>
      <c r="S4" s="2"/>
      <c r="T4" s="2"/>
      <c r="U4" s="2"/>
      <c r="V4" s="2"/>
      <c r="W4" s="2"/>
      <c r="X4" s="2"/>
      <c r="Y4" s="2"/>
    </row>
    <row r="5" spans="2:27" x14ac:dyDescent="0.3">
      <c r="D5" s="2"/>
      <c r="F5" s="56" t="s">
        <v>0</v>
      </c>
      <c r="G5" s="21" t="str">
        <f>IF(Summary!$E$5="","",Summary!$E$5)</f>
        <v/>
      </c>
      <c r="H5" s="86"/>
      <c r="I5" s="86"/>
      <c r="J5" s="86"/>
      <c r="K5" s="86"/>
      <c r="L5" s="2"/>
      <c r="M5" s="40" t="s">
        <v>26</v>
      </c>
      <c r="N5" s="52"/>
      <c r="Q5" s="2"/>
      <c r="S5" s="56" t="s">
        <v>0</v>
      </c>
      <c r="T5" s="21" t="str">
        <f>IF(Summary!$S$5="","",Summary!$S$5)</f>
        <v/>
      </c>
      <c r="U5" s="86"/>
      <c r="V5" s="86"/>
      <c r="W5" s="86"/>
      <c r="X5" s="86"/>
      <c r="Y5" s="2"/>
      <c r="Z5" s="185"/>
      <c r="AA5" s="2"/>
    </row>
    <row r="6" spans="2:27" x14ac:dyDescent="0.3">
      <c r="F6" s="56" t="s">
        <v>1</v>
      </c>
      <c r="G6" s="515" t="str">
        <f>IF(Summary!$S6="","",Summary!$S6)</f>
        <v/>
      </c>
      <c r="H6" s="516"/>
      <c r="I6" s="516"/>
      <c r="J6" s="516"/>
      <c r="K6" s="517"/>
      <c r="M6" s="40" t="s">
        <v>27</v>
      </c>
      <c r="N6" s="52"/>
      <c r="S6" s="56" t="s">
        <v>1</v>
      </c>
      <c r="T6" s="515" t="str">
        <f>IF(Summary!$S6="","",Summary!$S6)</f>
        <v/>
      </c>
      <c r="U6" s="516"/>
      <c r="V6" s="516"/>
      <c r="W6" s="516"/>
      <c r="X6" s="517"/>
      <c r="AA6" s="2"/>
    </row>
    <row r="7" spans="2:27" x14ac:dyDescent="0.3">
      <c r="F7" s="56"/>
      <c r="G7" s="182"/>
      <c r="H7" s="182"/>
      <c r="I7" s="86"/>
      <c r="J7" s="86"/>
      <c r="K7" s="86"/>
      <c r="M7" s="40" t="s">
        <v>28</v>
      </c>
      <c r="N7" s="52"/>
      <c r="S7" s="56"/>
      <c r="T7" s="182"/>
      <c r="U7" s="182"/>
      <c r="V7" s="86"/>
      <c r="W7" s="86"/>
      <c r="X7" s="86"/>
      <c r="AA7" s="2"/>
    </row>
    <row r="8" spans="2:27" x14ac:dyDescent="0.3">
      <c r="F8" s="56" t="s">
        <v>48</v>
      </c>
      <c r="G8" s="526" t="str">
        <f>IF(Summary!$S8="","",Summary!$S8)</f>
        <v/>
      </c>
      <c r="H8" s="527"/>
      <c r="I8" s="86"/>
      <c r="J8" s="86"/>
      <c r="K8" s="86"/>
      <c r="N8" s="50"/>
      <c r="S8" s="56" t="s">
        <v>48</v>
      </c>
      <c r="T8" s="526" t="str">
        <f>IF(Summary!$S8="","",Summary!$S8)</f>
        <v/>
      </c>
      <c r="U8" s="527"/>
      <c r="V8" s="86"/>
      <c r="W8" s="86"/>
      <c r="X8" s="86"/>
    </row>
    <row r="9" spans="2:27" x14ac:dyDescent="0.3">
      <c r="F9" s="56"/>
      <c r="G9" s="24"/>
      <c r="H9" s="25"/>
      <c r="I9" s="86"/>
      <c r="J9" s="86"/>
      <c r="K9" s="86"/>
      <c r="N9" s="50"/>
      <c r="S9" s="56"/>
      <c r="T9" s="24"/>
      <c r="U9" s="25"/>
      <c r="V9" s="86"/>
      <c r="W9" s="86"/>
      <c r="X9" s="86"/>
    </row>
    <row r="10" spans="2:27" x14ac:dyDescent="0.3">
      <c r="F10" s="56" t="s">
        <v>45</v>
      </c>
      <c r="G10" s="23">
        <f>IF(AND(C19="",C20="",F15="X"),SUM(C23:C27), 0)</f>
        <v>0</v>
      </c>
      <c r="H10" s="84"/>
      <c r="I10" s="86"/>
      <c r="J10" s="86"/>
      <c r="K10" s="86"/>
      <c r="N10" s="50"/>
      <c r="S10" s="56" t="s">
        <v>46</v>
      </c>
      <c r="T10" s="23">
        <f>IF(AND(P19="",P20="",S15="X"),SUM(P23:P27), 0)</f>
        <v>0</v>
      </c>
      <c r="U10" s="84"/>
      <c r="V10" s="86"/>
      <c r="W10" s="86"/>
      <c r="X10" s="86"/>
    </row>
    <row r="11" spans="2:27" ht="16.2" thickBot="1" x14ac:dyDescent="0.35">
      <c r="C11" s="3"/>
      <c r="D11" s="3"/>
      <c r="E11" s="3"/>
      <c r="F11" s="3"/>
      <c r="G11" s="3"/>
      <c r="H11" s="3"/>
      <c r="I11" s="3"/>
      <c r="J11" s="3"/>
      <c r="K11" s="3"/>
      <c r="L11" s="3"/>
      <c r="N11" s="50"/>
      <c r="P11" s="3"/>
      <c r="Q11" s="3"/>
      <c r="R11" s="3"/>
      <c r="S11" s="3"/>
      <c r="T11" s="3"/>
      <c r="U11" s="3"/>
      <c r="V11" s="3"/>
      <c r="W11" s="3"/>
      <c r="X11" s="3"/>
      <c r="Y11" s="3"/>
    </row>
    <row r="12" spans="2:27" x14ac:dyDescent="0.3">
      <c r="N12" s="50"/>
    </row>
    <row r="13" spans="2:27" x14ac:dyDescent="0.3">
      <c r="B13" s="31">
        <f>IF(E13="X",1,0)</f>
        <v>0</v>
      </c>
      <c r="E13" s="579" t="str">
        <f>IF(Summary!$I$9="","",Summary!$I$9)</f>
        <v/>
      </c>
      <c r="F13" s="580"/>
      <c r="G13" s="1" t="s">
        <v>95</v>
      </c>
      <c r="N13" s="50"/>
      <c r="O13" s="31">
        <f>IF(R13="X",1,0)</f>
        <v>0</v>
      </c>
      <c r="R13" s="579" t="str">
        <f>IF(Summary!$W$9="","",Summary!$W$9)</f>
        <v/>
      </c>
      <c r="S13" s="580"/>
      <c r="T13" s="1" t="s">
        <v>95</v>
      </c>
    </row>
    <row r="14" spans="2:27" x14ac:dyDescent="0.3">
      <c r="N14" s="50"/>
    </row>
    <row r="15" spans="2:27" ht="15.75" customHeight="1" x14ac:dyDescent="0.3">
      <c r="F15" s="359"/>
      <c r="G15" s="434" t="s">
        <v>151</v>
      </c>
      <c r="H15" s="434"/>
      <c r="I15" s="434"/>
      <c r="J15" s="434"/>
      <c r="K15" s="434"/>
      <c r="L15" s="434"/>
      <c r="N15" s="50"/>
      <c r="S15" s="287"/>
      <c r="T15" s="434" t="s">
        <v>151</v>
      </c>
      <c r="U15" s="434"/>
      <c r="V15" s="434"/>
      <c r="W15" s="434"/>
      <c r="X15" s="434"/>
      <c r="Y15" s="434"/>
    </row>
    <row r="16" spans="2:27" ht="27.75" customHeight="1" x14ac:dyDescent="0.3">
      <c r="C16" s="4"/>
      <c r="D16" s="4"/>
      <c r="E16" s="4"/>
      <c r="G16" s="434"/>
      <c r="H16" s="434"/>
      <c r="I16" s="434"/>
      <c r="J16" s="434"/>
      <c r="K16" s="434"/>
      <c r="L16" s="434"/>
      <c r="N16" s="50"/>
      <c r="P16" s="4"/>
      <c r="Q16" s="4"/>
      <c r="R16" s="4"/>
      <c r="T16" s="434"/>
      <c r="U16" s="434"/>
      <c r="V16" s="434"/>
      <c r="W16" s="434"/>
      <c r="X16" s="434"/>
      <c r="Y16" s="434"/>
    </row>
    <row r="17" spans="2:26" ht="79.5" customHeight="1" x14ac:dyDescent="0.3">
      <c r="B17" s="30"/>
      <c r="C17" s="434" t="s">
        <v>558</v>
      </c>
      <c r="D17" s="434"/>
      <c r="E17" s="434"/>
      <c r="F17" s="434"/>
      <c r="G17" s="434"/>
      <c r="H17" s="434"/>
      <c r="I17" s="434"/>
      <c r="J17" s="434"/>
      <c r="K17" s="434"/>
      <c r="L17" s="434"/>
      <c r="N17" s="50"/>
      <c r="O17" s="30"/>
      <c r="P17" s="434" t="s">
        <v>558</v>
      </c>
      <c r="Q17" s="434"/>
      <c r="R17" s="434"/>
      <c r="S17" s="434"/>
      <c r="T17" s="434"/>
      <c r="U17" s="434"/>
      <c r="V17" s="434"/>
      <c r="W17" s="434"/>
      <c r="X17" s="434"/>
      <c r="Y17" s="434"/>
    </row>
    <row r="18" spans="2:26" x14ac:dyDescent="0.3">
      <c r="B18" s="30" t="s">
        <v>3</v>
      </c>
      <c r="N18" s="50"/>
      <c r="O18" s="30" t="s">
        <v>3</v>
      </c>
    </row>
    <row r="19" spans="2:26" x14ac:dyDescent="0.3">
      <c r="C19" s="534" t="str">
        <f>IF(AND(OR(C23&lt;&gt;"",C27&lt;&gt;""),F15=""),"ERROR: INDICATE ABOVE IF ALL CATEGORIES ARE EVIDENCED THROUGH SUBMISSION OF APPROPRIATE DOCUMENTS","")</f>
        <v/>
      </c>
      <c r="D19" s="534"/>
      <c r="E19" s="534"/>
      <c r="F19" s="534"/>
      <c r="G19" s="534"/>
      <c r="H19" s="534"/>
      <c r="I19" s="534"/>
      <c r="J19" s="534"/>
      <c r="K19" s="534"/>
      <c r="L19" s="534"/>
      <c r="N19" s="50"/>
      <c r="P19" s="534" t="str">
        <f>IF(AND(OR(P23&lt;&gt;"",P27&lt;&gt;""),S15=""),"ERROR: INDICATE ABOVE IF ALL CATEGORIES ARE EVIDENCED THROUGH SUBMISSION OF APPROPRIATE DOCUMENTS","")</f>
        <v/>
      </c>
      <c r="Q19" s="534"/>
      <c r="R19" s="534"/>
      <c r="S19" s="534"/>
      <c r="T19" s="534"/>
      <c r="U19" s="534"/>
      <c r="V19" s="534"/>
      <c r="W19" s="534"/>
      <c r="X19" s="534"/>
      <c r="Y19" s="534"/>
      <c r="Z19" s="30">
        <f>IF(P19="",1,0)</f>
        <v>1</v>
      </c>
    </row>
    <row r="20" spans="2:26" x14ac:dyDescent="0.3">
      <c r="C20" s="534" t="str">
        <f>IF(AND(D23="X",D25="X"),"ERROR: SELECT ONLY TRANSIT ORIENTED DEVELOPMENT OR MASS TRANSIT/DEMAND RESPONSIVE TRANSIT","")</f>
        <v/>
      </c>
      <c r="D20" s="534"/>
      <c r="E20" s="534"/>
      <c r="F20" s="534"/>
      <c r="G20" s="534"/>
      <c r="H20" s="534"/>
      <c r="I20" s="534"/>
      <c r="J20" s="534"/>
      <c r="K20" s="534"/>
      <c r="L20" s="534"/>
      <c r="N20" s="50"/>
      <c r="P20" s="534" t="str">
        <f>IF(AND(Q23="X",Q25="X"),"ERROR: SELECT ONLY TRANSIT ORIENTED DEVELOPMENT OR MASS TRANSIT/DEMAND RESPONSIVE TRANSIT","")</f>
        <v/>
      </c>
      <c r="Q20" s="534"/>
      <c r="R20" s="534"/>
      <c r="S20" s="534"/>
      <c r="T20" s="534"/>
      <c r="U20" s="534"/>
      <c r="V20" s="534"/>
      <c r="W20" s="534"/>
      <c r="X20" s="534"/>
      <c r="Y20" s="534"/>
    </row>
    <row r="21" spans="2:26" ht="15.75" customHeight="1" thickBot="1" x14ac:dyDescent="0.35">
      <c r="B21" s="28"/>
      <c r="C21" s="407" t="s">
        <v>110</v>
      </c>
      <c r="D21" s="407"/>
      <c r="E21" s="407"/>
      <c r="F21" s="407"/>
      <c r="G21" s="407"/>
      <c r="H21" s="407"/>
      <c r="I21" s="407"/>
      <c r="J21" s="407"/>
      <c r="K21" s="407"/>
      <c r="L21" s="407"/>
      <c r="N21" s="50"/>
      <c r="O21" s="28"/>
      <c r="P21" s="407" t="s">
        <v>110</v>
      </c>
      <c r="Q21" s="407"/>
      <c r="R21" s="407"/>
      <c r="S21" s="407"/>
      <c r="T21" s="407"/>
      <c r="U21" s="407"/>
      <c r="V21" s="407"/>
      <c r="W21" s="407"/>
      <c r="X21" s="407"/>
      <c r="Y21" s="407"/>
      <c r="Z21" s="30">
        <f>IF(Q21="X",1,0)</f>
        <v>0</v>
      </c>
    </row>
    <row r="22" spans="2:26" ht="15.75" customHeight="1" x14ac:dyDescent="0.3">
      <c r="B22" s="28"/>
      <c r="C22" s="584"/>
      <c r="D22" s="585"/>
      <c r="E22" s="585"/>
      <c r="F22" s="585"/>
      <c r="G22" s="585"/>
      <c r="H22" s="585"/>
      <c r="I22" s="585"/>
      <c r="J22" s="585"/>
      <c r="K22" s="585"/>
      <c r="L22" s="586"/>
      <c r="N22" s="50"/>
      <c r="O22" s="28"/>
      <c r="P22" s="584"/>
      <c r="Q22" s="585"/>
      <c r="R22" s="585"/>
      <c r="S22" s="585"/>
      <c r="T22" s="585"/>
      <c r="U22" s="585"/>
      <c r="V22" s="585"/>
      <c r="W22" s="585"/>
      <c r="X22" s="585"/>
      <c r="Y22" s="586"/>
    </row>
    <row r="23" spans="2:26" ht="111" customHeight="1" x14ac:dyDescent="0.3">
      <c r="B23" s="535">
        <v>1</v>
      </c>
      <c r="C23" s="492" t="str">
        <f>IF(AND(D23="X",D25="X"),"",IF(OR(D23="X",D25="X"),1,""))</f>
        <v/>
      </c>
      <c r="D23" s="375"/>
      <c r="E23" s="587" t="s">
        <v>622</v>
      </c>
      <c r="F23" s="588"/>
      <c r="G23" s="588"/>
      <c r="H23" s="588"/>
      <c r="I23" s="588"/>
      <c r="J23" s="588"/>
      <c r="K23" s="588"/>
      <c r="L23" s="589"/>
      <c r="N23" s="50"/>
      <c r="O23" s="535">
        <v>1</v>
      </c>
      <c r="P23" s="492" t="str">
        <f>IF(AND(Q23="X",Q25="X"),"",IF(OR(Q23="X",Q25="X"),1,""))</f>
        <v/>
      </c>
      <c r="Q23" s="282"/>
      <c r="R23" s="587" t="s">
        <v>622</v>
      </c>
      <c r="S23" s="588"/>
      <c r="T23" s="588"/>
      <c r="U23" s="588"/>
      <c r="V23" s="588"/>
      <c r="W23" s="588"/>
      <c r="X23" s="588"/>
      <c r="Y23" s="589"/>
    </row>
    <row r="24" spans="2:26" ht="21" customHeight="1" x14ac:dyDescent="0.3">
      <c r="B24" s="590"/>
      <c r="C24" s="493"/>
      <c r="D24" s="591" t="s">
        <v>135</v>
      </c>
      <c r="E24" s="592"/>
      <c r="F24" s="592"/>
      <c r="G24" s="592"/>
      <c r="H24" s="592"/>
      <c r="I24" s="592"/>
      <c r="J24" s="592"/>
      <c r="K24" s="592"/>
      <c r="L24" s="593"/>
      <c r="N24" s="50"/>
      <c r="O24" s="590"/>
      <c r="P24" s="493"/>
      <c r="Q24" s="591" t="s">
        <v>135</v>
      </c>
      <c r="R24" s="592"/>
      <c r="S24" s="592"/>
      <c r="T24" s="592"/>
      <c r="U24" s="592"/>
      <c r="V24" s="592"/>
      <c r="W24" s="592"/>
      <c r="X24" s="592"/>
      <c r="Y24" s="593"/>
    </row>
    <row r="25" spans="2:26" ht="112.5" customHeight="1" x14ac:dyDescent="0.3">
      <c r="B25" s="536"/>
      <c r="C25" s="494"/>
      <c r="D25" s="376"/>
      <c r="E25" s="489" t="s">
        <v>623</v>
      </c>
      <c r="F25" s="490"/>
      <c r="G25" s="490"/>
      <c r="H25" s="490"/>
      <c r="I25" s="490"/>
      <c r="J25" s="490"/>
      <c r="K25" s="490"/>
      <c r="L25" s="491"/>
      <c r="N25" s="50"/>
      <c r="O25" s="536"/>
      <c r="P25" s="494"/>
      <c r="Q25" s="283"/>
      <c r="R25" s="489" t="s">
        <v>623</v>
      </c>
      <c r="S25" s="490"/>
      <c r="T25" s="490"/>
      <c r="U25" s="490"/>
      <c r="V25" s="490"/>
      <c r="W25" s="490"/>
      <c r="X25" s="490"/>
      <c r="Y25" s="491"/>
      <c r="Z25" s="30">
        <f>IF(Q25="X",1,0)</f>
        <v>0</v>
      </c>
    </row>
    <row r="26" spans="2:26" x14ac:dyDescent="0.3">
      <c r="B26" s="237"/>
      <c r="C26" s="581"/>
      <c r="D26" s="582"/>
      <c r="E26" s="582"/>
      <c r="F26" s="582"/>
      <c r="G26" s="582"/>
      <c r="H26" s="582"/>
      <c r="I26" s="582"/>
      <c r="J26" s="582"/>
      <c r="K26" s="582"/>
      <c r="L26" s="583"/>
      <c r="N26" s="50"/>
      <c r="O26" s="81"/>
      <c r="P26" s="581"/>
      <c r="Q26" s="582"/>
      <c r="R26" s="582"/>
      <c r="S26" s="582"/>
      <c r="T26" s="582"/>
      <c r="U26" s="582"/>
      <c r="V26" s="582"/>
      <c r="W26" s="582"/>
      <c r="X26" s="582"/>
      <c r="Y26" s="583"/>
    </row>
    <row r="27" spans="2:26" ht="192.75" customHeight="1" x14ac:dyDescent="0.3">
      <c r="B27" s="81">
        <v>1</v>
      </c>
      <c r="C27" s="167" t="str">
        <f>IF(D27="X",1,"")</f>
        <v/>
      </c>
      <c r="D27" s="376"/>
      <c r="E27" s="578" t="s">
        <v>624</v>
      </c>
      <c r="F27" s="578"/>
      <c r="G27" s="578"/>
      <c r="H27" s="578"/>
      <c r="I27" s="578"/>
      <c r="J27" s="578"/>
      <c r="K27" s="578"/>
      <c r="L27" s="578"/>
      <c r="N27" s="50"/>
      <c r="O27" s="81">
        <v>1</v>
      </c>
      <c r="P27" s="167" t="str">
        <f>IF(Q27="X",1,"")</f>
        <v/>
      </c>
      <c r="Q27" s="283"/>
      <c r="R27" s="578" t="s">
        <v>624</v>
      </c>
      <c r="S27" s="578"/>
      <c r="T27" s="578"/>
      <c r="U27" s="578"/>
      <c r="V27" s="578"/>
      <c r="W27" s="578"/>
      <c r="X27" s="578"/>
      <c r="Y27" s="578"/>
      <c r="Z27" s="30">
        <f>IF(Q27="X",1,0)</f>
        <v>0</v>
      </c>
    </row>
    <row r="28" spans="2:26" ht="15" customHeight="1" x14ac:dyDescent="0.3">
      <c r="E28" s="8"/>
      <c r="N28" s="50"/>
      <c r="R28" s="8"/>
    </row>
    <row r="29" spans="2:26" s="8" customFormat="1" ht="15" customHeight="1" x14ac:dyDescent="0.3">
      <c r="B29" s="31"/>
      <c r="M29" s="31"/>
      <c r="N29" s="51"/>
      <c r="O29" s="31"/>
      <c r="Z29" s="31"/>
    </row>
    <row r="30" spans="2:26" s="8" customFormat="1" ht="15" customHeight="1" x14ac:dyDescent="0.3">
      <c r="B30" s="31"/>
      <c r="M30" s="31"/>
      <c r="O30" s="31"/>
      <c r="Z30" s="31"/>
    </row>
    <row r="31" spans="2:26" s="8" customFormat="1" ht="15" customHeight="1" x14ac:dyDescent="0.3">
      <c r="B31" s="31"/>
      <c r="M31" s="31"/>
      <c r="O31" s="31"/>
      <c r="Z31" s="31"/>
    </row>
    <row r="32" spans="2:26" s="8" customFormat="1" ht="15" customHeight="1" x14ac:dyDescent="0.3">
      <c r="B32" s="31"/>
      <c r="M32" s="31"/>
      <c r="O32" s="31"/>
      <c r="Z32" s="31"/>
    </row>
    <row r="34" spans="3:25" ht="15" customHeight="1" x14ac:dyDescent="0.3">
      <c r="C34" s="9"/>
      <c r="D34" s="9"/>
      <c r="E34" s="7"/>
      <c r="P34" s="9"/>
      <c r="Q34" s="9"/>
      <c r="R34" s="7"/>
    </row>
    <row r="40" spans="3:25" ht="15.75" hidden="1" customHeight="1" x14ac:dyDescent="0.3">
      <c r="L40" s="13" t="e">
        <f>'22C4'!#REF!</f>
        <v>#REF!</v>
      </c>
      <c r="Y40" s="13">
        <f>'22C4'!G10</f>
        <v>0</v>
      </c>
    </row>
  </sheetData>
  <sheetProtection algorithmName="SHA-512" hashValue="U3zOV/i+2+8qWoQ2DLPol6EE65Qr18dgsHhSEpiA80Tt1b6WEkqPz94xQ/1oBtz8cUjWC3UHyn4ZYoAEEjF2sQ==" saltValue="C43gwfuyp2mCNdHQWRrEmw==" spinCount="100000" sheet="1" objects="1" scenarios="1" selectLockedCells="1"/>
  <mergeCells count="36">
    <mergeCell ref="Q24:Y24"/>
    <mergeCell ref="P20:Y20"/>
    <mergeCell ref="C20:L20"/>
    <mergeCell ref="C22:L22"/>
    <mergeCell ref="E23:L23"/>
    <mergeCell ref="D24:L24"/>
    <mergeCell ref="P23:P25"/>
    <mergeCell ref="B23:B25"/>
    <mergeCell ref="O23:O25"/>
    <mergeCell ref="C17:L17"/>
    <mergeCell ref="C19:L19"/>
    <mergeCell ref="C21:L21"/>
    <mergeCell ref="C23:C25"/>
    <mergeCell ref="E25:L25"/>
    <mergeCell ref="C2:L2"/>
    <mergeCell ref="C3:L3"/>
    <mergeCell ref="P2:Y2"/>
    <mergeCell ref="P3:Y3"/>
    <mergeCell ref="T6:X6"/>
    <mergeCell ref="G6:K6"/>
    <mergeCell ref="G8:H8"/>
    <mergeCell ref="G15:L16"/>
    <mergeCell ref="T15:Y16"/>
    <mergeCell ref="R27:Y27"/>
    <mergeCell ref="E27:L27"/>
    <mergeCell ref="T8:U8"/>
    <mergeCell ref="E13:F13"/>
    <mergeCell ref="R13:S13"/>
    <mergeCell ref="P17:Y17"/>
    <mergeCell ref="P19:Y19"/>
    <mergeCell ref="C26:L26"/>
    <mergeCell ref="P26:Y26"/>
    <mergeCell ref="P21:Y21"/>
    <mergeCell ref="P22:Y22"/>
    <mergeCell ref="R23:Y23"/>
    <mergeCell ref="R25:Y25"/>
  </mergeCells>
  <dataValidations count="2">
    <dataValidation type="list" allowBlank="1" showInputMessage="1" showErrorMessage="1" sqref="Q25 Q27 Q23 D25 D27 D23" xr:uid="{00000000-0002-0000-0D00-000000000000}">
      <formula1>$B$17:$B$18</formula1>
    </dataValidation>
    <dataValidation type="list" operator="greaterThanOrEqual" showInputMessage="1" showErrorMessage="1" sqref="S15 F15" xr:uid="{00000000-0002-0000-0D00-000001000000}">
      <formula1>$B$17:$B$18</formula1>
    </dataValidation>
  </dataValidations>
  <pageMargins left="0.7" right="0.7" top="0.75" bottom="0.75" header="0.3" footer="0.3"/>
  <pageSetup scale="71" orientation="portrait" r:id="rId1"/>
  <headerFooter>
    <oddFooter>&amp;CTab: &amp;A&amp;RPrint Date: &amp;D</oddFooter>
  </headerFooter>
  <colBreaks count="1" manualBreakCount="1">
    <brk id="14" max="30" man="1"/>
  </colBreaks>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1">
    <pageSetUpPr fitToPage="1"/>
  </sheetPr>
  <dimension ref="B1:AZ1348"/>
  <sheetViews>
    <sheetView showGridLines="0" view="pageBreakPreview" zoomScaleNormal="100" zoomScaleSheetLayoutView="100" workbookViewId="0">
      <selection activeCell="F40" sqref="F40"/>
    </sheetView>
  </sheetViews>
  <sheetFormatPr defaultColWidth="9.109375" defaultRowHeight="15.6" x14ac:dyDescent="0.3"/>
  <cols>
    <col min="1" max="1" width="3.5546875" style="1" customWidth="1"/>
    <col min="2" max="3" width="9.109375" style="185" hidden="1" customWidth="1"/>
    <col min="4" max="4" width="10.109375" style="1" customWidth="1"/>
    <col min="5" max="5" width="16.88671875" style="1" customWidth="1"/>
    <col min="6" max="6" width="25.5546875" style="1" customWidth="1"/>
    <col min="7" max="9" width="12.44140625" style="1" customWidth="1"/>
    <col min="10" max="10" width="13.88671875" style="1" customWidth="1"/>
    <col min="11" max="11" width="12.44140625" style="1" customWidth="1"/>
    <col min="12" max="12" width="21.44140625" style="1" customWidth="1"/>
    <col min="13" max="13" width="12.44140625" style="1" customWidth="1"/>
    <col min="14" max="14" width="12" style="1" customWidth="1"/>
    <col min="15" max="15" width="3.5546875" style="1" customWidth="1"/>
    <col min="16" max="16" width="20.109375" style="185" hidden="1" customWidth="1"/>
    <col min="17" max="17" width="25.5546875" style="185" hidden="1" customWidth="1"/>
    <col min="18" max="20" width="16.88671875" style="185" hidden="1" customWidth="1"/>
    <col min="21" max="21" width="12.6640625" style="185" hidden="1" customWidth="1"/>
    <col min="22" max="26" width="9.109375" style="185" hidden="1" customWidth="1"/>
    <col min="27" max="27" width="1.5546875" style="1" hidden="1" customWidth="1"/>
    <col min="28" max="28" width="11.109375" style="185" hidden="1" customWidth="1"/>
    <col min="29" max="29" width="9.109375" style="185" hidden="1" customWidth="1"/>
    <col min="30" max="30" width="10.109375" style="1" customWidth="1"/>
    <col min="31" max="31" width="16.88671875" style="1" customWidth="1"/>
    <col min="32" max="32" width="25.5546875" style="1" customWidth="1"/>
    <col min="33" max="35" width="12.44140625" style="1" customWidth="1"/>
    <col min="36" max="36" width="13.88671875" style="1" customWidth="1"/>
    <col min="37" max="37" width="12.44140625" style="1" customWidth="1"/>
    <col min="38" max="38" width="21.44140625" style="1" customWidth="1"/>
    <col min="39" max="39" width="12.44140625" style="1" customWidth="1"/>
    <col min="40" max="40" width="12" style="1" customWidth="1"/>
    <col min="41" max="41" width="12" style="1" hidden="1" customWidth="1"/>
    <col min="42" max="42" width="20.109375" style="185" hidden="1" customWidth="1"/>
    <col min="43" max="43" width="25.5546875" style="185" hidden="1" customWidth="1"/>
    <col min="44" max="46" width="16.88671875" style="185" hidden="1" customWidth="1"/>
    <col min="47" max="47" width="12.6640625" style="185" hidden="1" customWidth="1"/>
    <col min="48" max="50" width="9.109375" style="185" hidden="1" customWidth="1"/>
    <col min="51" max="51" width="9.109375" style="185" customWidth="1"/>
    <col min="52" max="52" width="9.109375" style="185"/>
    <col min="53" max="16384" width="9.109375" style="1"/>
  </cols>
  <sheetData>
    <row r="1" spans="4:50" x14ac:dyDescent="0.3">
      <c r="D1" s="230"/>
      <c r="E1" s="140"/>
      <c r="F1" s="605"/>
      <c r="G1" s="605"/>
      <c r="H1" s="605"/>
      <c r="I1" s="605"/>
      <c r="J1" s="605"/>
      <c r="K1" s="605"/>
      <c r="L1" s="605"/>
      <c r="M1" s="195"/>
      <c r="R1" s="150" t="s">
        <v>174</v>
      </c>
      <c r="S1" s="149"/>
      <c r="T1" s="149"/>
      <c r="AA1" s="50"/>
      <c r="AD1" s="230"/>
      <c r="AE1" s="140"/>
      <c r="AF1" s="605"/>
      <c r="AG1" s="605"/>
      <c r="AH1" s="605"/>
      <c r="AI1" s="605"/>
      <c r="AJ1" s="605"/>
      <c r="AK1" s="605"/>
      <c r="AL1" s="605"/>
      <c r="AM1" s="195"/>
      <c r="AR1" s="150" t="s">
        <v>174</v>
      </c>
      <c r="AS1" s="149"/>
      <c r="AT1" s="149"/>
    </row>
    <row r="2" spans="4:50" x14ac:dyDescent="0.3">
      <c r="D2" s="410" t="s">
        <v>126</v>
      </c>
      <c r="E2" s="410"/>
      <c r="F2" s="410"/>
      <c r="G2" s="410"/>
      <c r="H2" s="410"/>
      <c r="I2" s="410"/>
      <c r="J2" s="410"/>
      <c r="K2" s="410"/>
      <c r="L2" s="410"/>
      <c r="M2" s="410"/>
      <c r="N2" s="410"/>
      <c r="O2" s="230"/>
      <c r="P2" s="41" t="s">
        <v>20</v>
      </c>
      <c r="Q2" s="141" t="s">
        <v>21</v>
      </c>
      <c r="R2" s="150" t="s">
        <v>174</v>
      </c>
      <c r="S2" s="198"/>
      <c r="T2" s="198"/>
      <c r="AA2" s="50"/>
      <c r="AD2" s="410" t="s">
        <v>126</v>
      </c>
      <c r="AE2" s="410"/>
      <c r="AF2" s="410"/>
      <c r="AG2" s="410"/>
      <c r="AH2" s="410"/>
      <c r="AI2" s="410"/>
      <c r="AJ2" s="410"/>
      <c r="AK2" s="410"/>
      <c r="AL2" s="410"/>
      <c r="AM2" s="410"/>
      <c r="AN2" s="410"/>
      <c r="AO2" s="230"/>
      <c r="AP2" s="41" t="s">
        <v>20</v>
      </c>
      <c r="AQ2" s="141" t="s">
        <v>21</v>
      </c>
      <c r="AR2" s="150" t="s">
        <v>174</v>
      </c>
      <c r="AS2" s="198"/>
      <c r="AT2" s="198"/>
    </row>
    <row r="3" spans="4:50" ht="16.2" thickBot="1" x14ac:dyDescent="0.35">
      <c r="D3" s="411" t="s">
        <v>53</v>
      </c>
      <c r="E3" s="411"/>
      <c r="F3" s="411"/>
      <c r="G3" s="411"/>
      <c r="H3" s="411"/>
      <c r="I3" s="411"/>
      <c r="J3" s="411"/>
      <c r="K3" s="411"/>
      <c r="L3" s="411"/>
      <c r="M3" s="411"/>
      <c r="N3" s="3"/>
      <c r="P3" s="142" t="s">
        <v>23</v>
      </c>
      <c r="Q3" s="30"/>
      <c r="U3" s="1"/>
      <c r="V3" s="342" t="s">
        <v>52</v>
      </c>
      <c r="W3" s="342"/>
      <c r="X3" s="342"/>
      <c r="Y3" s="342"/>
      <c r="AA3" s="50"/>
      <c r="AD3" s="411" t="s">
        <v>54</v>
      </c>
      <c r="AE3" s="411"/>
      <c r="AF3" s="411"/>
      <c r="AG3" s="411"/>
      <c r="AH3" s="411"/>
      <c r="AI3" s="411"/>
      <c r="AJ3" s="411"/>
      <c r="AK3" s="411"/>
      <c r="AL3" s="411"/>
      <c r="AM3" s="411"/>
      <c r="AN3" s="3"/>
      <c r="AP3" s="142" t="s">
        <v>23</v>
      </c>
      <c r="AQ3" s="30"/>
      <c r="AU3" s="1"/>
      <c r="AV3" s="342" t="s">
        <v>52</v>
      </c>
      <c r="AW3" s="342"/>
      <c r="AX3" s="342"/>
    </row>
    <row r="4" spans="4:50" x14ac:dyDescent="0.3">
      <c r="D4" s="2"/>
      <c r="E4" s="2"/>
      <c r="F4" s="2"/>
      <c r="G4" s="2"/>
      <c r="H4" s="2"/>
      <c r="I4" s="2"/>
      <c r="J4" s="2"/>
      <c r="K4" s="2"/>
      <c r="L4" s="2"/>
      <c r="M4" s="2"/>
      <c r="P4" s="30" t="s">
        <v>24</v>
      </c>
      <c r="Q4" s="196" t="s">
        <v>385</v>
      </c>
      <c r="R4" s="30">
        <v>0.5</v>
      </c>
      <c r="V4" s="185">
        <v>1</v>
      </c>
      <c r="AA4" s="50"/>
      <c r="AD4" s="2"/>
      <c r="AE4" s="2"/>
      <c r="AF4" s="2"/>
      <c r="AG4" s="2"/>
      <c r="AH4" s="2"/>
      <c r="AI4" s="2"/>
      <c r="AJ4" s="2"/>
      <c r="AK4" s="2"/>
      <c r="AL4" s="2"/>
      <c r="AM4" s="2"/>
      <c r="AP4" s="30" t="s">
        <v>24</v>
      </c>
      <c r="AQ4" s="196" t="s">
        <v>385</v>
      </c>
      <c r="AR4" s="30">
        <v>0.5</v>
      </c>
      <c r="AV4" s="185">
        <v>1</v>
      </c>
    </row>
    <row r="5" spans="4:50" x14ac:dyDescent="0.3">
      <c r="D5" s="2"/>
      <c r="E5" s="2"/>
      <c r="G5" s="56" t="s">
        <v>0</v>
      </c>
      <c r="H5" s="21" t="str">
        <f>IF(Summary!$E$5="","",Summary!$E$5)</f>
        <v/>
      </c>
      <c r="I5" s="86"/>
      <c r="J5" s="86"/>
      <c r="K5" s="86"/>
      <c r="L5" s="86"/>
      <c r="M5" s="2"/>
      <c r="P5" s="30" t="s">
        <v>137</v>
      </c>
      <c r="Q5" s="196" t="s">
        <v>385</v>
      </c>
      <c r="R5" s="30">
        <v>0.5</v>
      </c>
      <c r="V5" s="185">
        <v>1</v>
      </c>
      <c r="AA5" s="50"/>
      <c r="AD5" s="2"/>
      <c r="AE5" s="2"/>
      <c r="AG5" s="56" t="s">
        <v>0</v>
      </c>
      <c r="AH5" s="21" t="str">
        <f>IF(Summary!$S$5="","",Summary!$S$5)</f>
        <v/>
      </c>
      <c r="AI5" s="86"/>
      <c r="AJ5" s="86"/>
      <c r="AK5" s="86"/>
      <c r="AL5" s="86"/>
      <c r="AM5" s="2"/>
      <c r="AP5" s="30" t="s">
        <v>137</v>
      </c>
      <c r="AQ5" s="196" t="s">
        <v>385</v>
      </c>
      <c r="AR5" s="30">
        <v>0.5</v>
      </c>
      <c r="AV5" s="185">
        <v>1</v>
      </c>
    </row>
    <row r="6" spans="4:50" x14ac:dyDescent="0.3">
      <c r="G6" s="56" t="s">
        <v>1</v>
      </c>
      <c r="H6" s="515" t="str">
        <f>IF(Summary!E6="","",Summary!E6)</f>
        <v/>
      </c>
      <c r="I6" s="516"/>
      <c r="J6" s="516"/>
      <c r="K6" s="516"/>
      <c r="L6" s="517"/>
      <c r="P6" s="30" t="s">
        <v>27</v>
      </c>
      <c r="Q6" s="196" t="s">
        <v>385</v>
      </c>
      <c r="R6" s="30">
        <v>0.5</v>
      </c>
      <c r="V6" s="185">
        <v>1</v>
      </c>
      <c r="AA6" s="50"/>
      <c r="AG6" s="56" t="s">
        <v>1</v>
      </c>
      <c r="AH6" s="515" t="str">
        <f>IF(Summary!$S$6="","",Summary!$S$6)</f>
        <v/>
      </c>
      <c r="AI6" s="516"/>
      <c r="AJ6" s="516"/>
      <c r="AK6" s="516"/>
      <c r="AL6" s="517"/>
      <c r="AP6" s="30" t="s">
        <v>27</v>
      </c>
      <c r="AQ6" s="196" t="s">
        <v>385</v>
      </c>
      <c r="AR6" s="30">
        <v>0.5</v>
      </c>
      <c r="AV6" s="185">
        <v>1</v>
      </c>
    </row>
    <row r="7" spans="4:50" x14ac:dyDescent="0.3">
      <c r="G7" s="56"/>
      <c r="H7" s="182"/>
      <c r="I7" s="182"/>
      <c r="J7" s="86"/>
      <c r="K7" s="86"/>
      <c r="L7" s="86"/>
      <c r="P7" s="30" t="s">
        <v>28</v>
      </c>
      <c r="Q7" s="196" t="s">
        <v>386</v>
      </c>
      <c r="R7" s="30">
        <v>5</v>
      </c>
      <c r="V7" s="185">
        <v>1</v>
      </c>
      <c r="AA7" s="50"/>
      <c r="AG7" s="56"/>
      <c r="AH7" s="182"/>
      <c r="AI7" s="182"/>
      <c r="AJ7" s="86"/>
      <c r="AK7" s="86"/>
      <c r="AL7" s="86"/>
      <c r="AP7" s="30" t="s">
        <v>28</v>
      </c>
      <c r="AQ7" s="196" t="s">
        <v>386</v>
      </c>
      <c r="AR7" s="30">
        <v>5</v>
      </c>
      <c r="AV7" s="185">
        <v>1</v>
      </c>
    </row>
    <row r="8" spans="4:50" x14ac:dyDescent="0.3">
      <c r="G8" s="56" t="s">
        <v>48</v>
      </c>
      <c r="H8" s="518" t="str">
        <f>IF(Summary!E8="","",Summary!E8)</f>
        <v/>
      </c>
      <c r="I8" s="518"/>
      <c r="J8" s="86"/>
      <c r="K8" s="86"/>
      <c r="L8" s="86"/>
      <c r="P8" s="30"/>
      <c r="Q8" s="197"/>
      <c r="AA8" s="50"/>
      <c r="AG8" s="56" t="s">
        <v>48</v>
      </c>
      <c r="AH8" s="518" t="str">
        <f>IF(Summary!$S$8="","",Summary!$S$8)</f>
        <v/>
      </c>
      <c r="AI8" s="518"/>
      <c r="AJ8" s="86"/>
      <c r="AK8" s="86"/>
      <c r="AL8" s="86"/>
      <c r="AP8" s="30"/>
      <c r="AQ8" s="197"/>
    </row>
    <row r="9" spans="4:50" x14ac:dyDescent="0.3">
      <c r="G9" s="56"/>
      <c r="H9" s="84"/>
      <c r="I9" s="84"/>
      <c r="J9" s="86"/>
      <c r="K9" s="86"/>
      <c r="L9" s="86"/>
      <c r="P9" s="185" t="s">
        <v>113</v>
      </c>
      <c r="AA9" s="50"/>
      <c r="AG9" s="56"/>
      <c r="AH9" s="84"/>
      <c r="AI9" s="84"/>
      <c r="AJ9" s="86"/>
      <c r="AK9" s="86"/>
      <c r="AL9" s="86"/>
      <c r="AP9" s="185" t="s">
        <v>113</v>
      </c>
    </row>
    <row r="10" spans="4:50" x14ac:dyDescent="0.3">
      <c r="G10" s="56" t="s">
        <v>45</v>
      </c>
      <c r="H10" s="23">
        <f>IF(G39="",IF(SUM(D32:D38)&gt;5,5,SUM(D32:D38)),0)</f>
        <v>0</v>
      </c>
      <c r="I10" s="84"/>
      <c r="J10" s="86"/>
      <c r="K10" s="86"/>
      <c r="L10" s="86"/>
      <c r="P10" s="185" t="s">
        <v>114</v>
      </c>
      <c r="AA10" s="50"/>
      <c r="AG10" s="56" t="s">
        <v>46</v>
      </c>
      <c r="AH10" s="23">
        <f>IF(AG39="",IF(SUM(AD32:AD38)&gt;5,5,SUM(AD32:AD38)),0)</f>
        <v>0</v>
      </c>
      <c r="AI10" s="84"/>
      <c r="AJ10" s="86"/>
      <c r="AK10" s="86"/>
      <c r="AL10" s="86"/>
      <c r="AP10" s="185" t="s">
        <v>114</v>
      </c>
    </row>
    <row r="11" spans="4:50" ht="16.2" thickBot="1" x14ac:dyDescent="0.35">
      <c r="D11" s="3"/>
      <c r="E11" s="3"/>
      <c r="F11" s="3"/>
      <c r="G11" s="3"/>
      <c r="H11" s="3"/>
      <c r="I11" s="3"/>
      <c r="J11" s="3"/>
      <c r="K11" s="3"/>
      <c r="L11" s="3"/>
      <c r="M11" s="3"/>
      <c r="N11" s="3"/>
      <c r="AA11" s="50"/>
      <c r="AD11" s="3"/>
      <c r="AE11" s="3"/>
      <c r="AF11" s="3"/>
      <c r="AG11" s="3"/>
      <c r="AH11" s="3"/>
      <c r="AI11" s="3"/>
      <c r="AJ11" s="3"/>
      <c r="AK11" s="3"/>
      <c r="AL11" s="3"/>
      <c r="AM11" s="3"/>
      <c r="AN11" s="3"/>
    </row>
    <row r="12" spans="4:50" x14ac:dyDescent="0.3">
      <c r="P12" s="33"/>
      <c r="R12" s="152"/>
      <c r="AA12" s="50"/>
      <c r="AP12" s="33"/>
      <c r="AR12" s="152"/>
    </row>
    <row r="13" spans="4:50" ht="16.5" customHeight="1" x14ac:dyDescent="0.3">
      <c r="D13" s="4"/>
      <c r="E13" s="4"/>
      <c r="F13" s="4"/>
      <c r="G13" s="4"/>
      <c r="H13" s="4"/>
      <c r="I13" s="4"/>
      <c r="J13" s="4"/>
      <c r="K13" s="4"/>
      <c r="L13" s="4"/>
      <c r="M13" s="4"/>
      <c r="AA13" s="50"/>
      <c r="AD13" s="4"/>
      <c r="AE13" s="4"/>
      <c r="AF13" s="4"/>
      <c r="AG13" s="4"/>
      <c r="AH13" s="4"/>
      <c r="AI13" s="4"/>
      <c r="AJ13" s="4"/>
      <c r="AK13" s="4"/>
      <c r="AL13" s="4"/>
      <c r="AM13" s="4"/>
    </row>
    <row r="14" spans="4:50" ht="31.5" customHeight="1" x14ac:dyDescent="0.3">
      <c r="D14" s="443" t="s">
        <v>625</v>
      </c>
      <c r="E14" s="443"/>
      <c r="F14" s="443"/>
      <c r="G14" s="443"/>
      <c r="H14" s="443"/>
      <c r="I14" s="443"/>
      <c r="J14" s="443"/>
      <c r="K14" s="443"/>
      <c r="L14" s="443"/>
      <c r="M14" s="443"/>
      <c r="N14" s="443"/>
      <c r="O14" s="183"/>
      <c r="P14" s="1"/>
      <c r="Q14" s="143"/>
      <c r="R14" s="144" t="str">
        <f>IF($F$32="","",$F$32)</f>
        <v>Food Access</v>
      </c>
      <c r="S14" s="144" t="str">
        <f>IF($F$33="","",$F$33)</f>
        <v>Health &amp; Wellness</v>
      </c>
      <c r="T14" s="144" t="s">
        <v>304</v>
      </c>
      <c r="U14" s="245" t="s">
        <v>305</v>
      </c>
      <c r="V14" s="245" t="s">
        <v>306</v>
      </c>
      <c r="W14" s="245" t="s">
        <v>307</v>
      </c>
      <c r="X14" s="245" t="s">
        <v>308</v>
      </c>
      <c r="Y14" s="143"/>
      <c r="Z14" s="143"/>
      <c r="AA14" s="50"/>
      <c r="AD14" s="443" t="s">
        <v>625</v>
      </c>
      <c r="AE14" s="443"/>
      <c r="AF14" s="443"/>
      <c r="AG14" s="443"/>
      <c r="AH14" s="443"/>
      <c r="AI14" s="443"/>
      <c r="AJ14" s="443"/>
      <c r="AK14" s="443"/>
      <c r="AL14" s="443"/>
      <c r="AM14" s="443"/>
      <c r="AN14" s="443"/>
      <c r="AO14" s="183"/>
      <c r="AP14" s="1"/>
      <c r="AQ14" s="143"/>
      <c r="AR14" s="144" t="str">
        <f>IF($F$32="","",$F$32)</f>
        <v>Food Access</v>
      </c>
      <c r="AS14" s="144" t="str">
        <f>IF($F$33="","",$F$33)</f>
        <v>Health &amp; Wellness</v>
      </c>
      <c r="AT14" s="144" t="s">
        <v>304</v>
      </c>
      <c r="AU14" s="245" t="s">
        <v>305</v>
      </c>
      <c r="AV14" s="245" t="s">
        <v>306</v>
      </c>
      <c r="AW14" s="245" t="s">
        <v>307</v>
      </c>
      <c r="AX14" s="245" t="s">
        <v>308</v>
      </c>
    </row>
    <row r="15" spans="4:50" ht="15.75" customHeight="1" x14ac:dyDescent="0.3">
      <c r="D15" s="443"/>
      <c r="E15" s="443"/>
      <c r="F15" s="443"/>
      <c r="G15" s="443"/>
      <c r="H15" s="443"/>
      <c r="I15" s="443"/>
      <c r="J15" s="443"/>
      <c r="K15" s="443"/>
      <c r="L15" s="443"/>
      <c r="M15" s="443"/>
      <c r="N15" s="443"/>
      <c r="O15" s="183"/>
      <c r="P15" s="185" t="s">
        <v>22</v>
      </c>
      <c r="Q15" s="85" t="s">
        <v>177</v>
      </c>
      <c r="R15" s="185">
        <f>SUM(R44:R1241)</f>
        <v>0</v>
      </c>
      <c r="S15" s="185">
        <f>SUM(S44:S1241)</f>
        <v>0</v>
      </c>
      <c r="T15" s="185">
        <f t="shared" ref="T15:W15" si="0">SUM(T44:T1241)</f>
        <v>0</v>
      </c>
      <c r="U15" s="185">
        <f t="shared" si="0"/>
        <v>0</v>
      </c>
      <c r="V15" s="185">
        <f t="shared" si="0"/>
        <v>0</v>
      </c>
      <c r="W15" s="185">
        <f t="shared" si="0"/>
        <v>0</v>
      </c>
      <c r="X15" s="185">
        <f>SUM(X44:X1241)</f>
        <v>0</v>
      </c>
      <c r="Y15" s="198"/>
      <c r="Z15" s="198"/>
      <c r="AA15" s="50"/>
      <c r="AD15" s="443"/>
      <c r="AE15" s="443"/>
      <c r="AF15" s="443"/>
      <c r="AG15" s="443"/>
      <c r="AH15" s="443"/>
      <c r="AI15" s="443"/>
      <c r="AJ15" s="443"/>
      <c r="AK15" s="443"/>
      <c r="AL15" s="443"/>
      <c r="AM15" s="443"/>
      <c r="AN15" s="443"/>
      <c r="AO15" s="183"/>
      <c r="AP15" s="185" t="s">
        <v>22</v>
      </c>
      <c r="AQ15" s="85" t="s">
        <v>177</v>
      </c>
      <c r="AR15" s="185">
        <f>SUM(AR44:AR1241)</f>
        <v>0</v>
      </c>
      <c r="AS15" s="185">
        <f>SUM(AS44:AS1241)</f>
        <v>0</v>
      </c>
      <c r="AT15" s="185">
        <f t="shared" ref="AT15:AW15" si="1">SUM(AT44:AT1241)</f>
        <v>0</v>
      </c>
      <c r="AU15" s="185">
        <f t="shared" si="1"/>
        <v>0</v>
      </c>
      <c r="AV15" s="185">
        <f t="shared" si="1"/>
        <v>0</v>
      </c>
      <c r="AW15" s="185">
        <f t="shared" si="1"/>
        <v>0</v>
      </c>
      <c r="AX15" s="185">
        <f>SUM(AX44:AX1241)</f>
        <v>0</v>
      </c>
    </row>
    <row r="16" spans="4:50" ht="33" customHeight="1" x14ac:dyDescent="0.3">
      <c r="D16" s="434" t="s">
        <v>629</v>
      </c>
      <c r="E16" s="434"/>
      <c r="F16" s="434"/>
      <c r="G16" s="434"/>
      <c r="H16" s="434"/>
      <c r="I16" s="434"/>
      <c r="J16" s="434"/>
      <c r="K16" s="434"/>
      <c r="L16" s="434"/>
      <c r="M16" s="434"/>
      <c r="N16" s="434"/>
      <c r="O16" s="335"/>
      <c r="P16" s="198">
        <f>SUM(P44:P1241)</f>
        <v>0</v>
      </c>
      <c r="Q16" s="258" t="s">
        <v>388</v>
      </c>
      <c r="R16" s="390" t="e">
        <f>R15/$P$16</f>
        <v>#DIV/0!</v>
      </c>
      <c r="S16" s="390" t="e">
        <f>S15/$P$16</f>
        <v>#DIV/0!</v>
      </c>
      <c r="T16" s="390" t="e">
        <f t="shared" ref="T16:X16" si="2">T15/$P$16</f>
        <v>#DIV/0!</v>
      </c>
      <c r="U16" s="390" t="e">
        <f t="shared" si="2"/>
        <v>#DIV/0!</v>
      </c>
      <c r="V16" s="390" t="e">
        <f t="shared" si="2"/>
        <v>#DIV/0!</v>
      </c>
      <c r="W16" s="390" t="e">
        <f t="shared" si="2"/>
        <v>#DIV/0!</v>
      </c>
      <c r="X16" s="390" t="e">
        <f t="shared" si="2"/>
        <v>#DIV/0!</v>
      </c>
      <c r="AA16" s="50"/>
      <c r="AD16" s="434" t="s">
        <v>629</v>
      </c>
      <c r="AE16" s="434"/>
      <c r="AF16" s="434"/>
      <c r="AG16" s="434"/>
      <c r="AH16" s="434"/>
      <c r="AI16" s="434"/>
      <c r="AJ16" s="434"/>
      <c r="AK16" s="434"/>
      <c r="AL16" s="434"/>
      <c r="AM16" s="434"/>
      <c r="AN16" s="434"/>
      <c r="AO16" s="335"/>
      <c r="AP16" s="198">
        <f>SUM(AP44:AP1241)</f>
        <v>0</v>
      </c>
      <c r="AQ16" s="258" t="s">
        <v>388</v>
      </c>
      <c r="AR16" s="2" t="e">
        <f>AR15/$AP$16</f>
        <v>#DIV/0!</v>
      </c>
      <c r="AS16" s="2" t="e">
        <f t="shared" ref="AS16:AX16" si="3">AS15/$AP$16</f>
        <v>#DIV/0!</v>
      </c>
      <c r="AT16" s="2" t="e">
        <f t="shared" si="3"/>
        <v>#DIV/0!</v>
      </c>
      <c r="AU16" s="2" t="e">
        <f t="shared" si="3"/>
        <v>#DIV/0!</v>
      </c>
      <c r="AV16" s="2" t="e">
        <f t="shared" si="3"/>
        <v>#DIV/0!</v>
      </c>
      <c r="AW16" s="2" t="e">
        <f t="shared" si="3"/>
        <v>#DIV/0!</v>
      </c>
      <c r="AX16" s="2" t="e">
        <f t="shared" si="3"/>
        <v>#DIV/0!</v>
      </c>
    </row>
    <row r="17" spans="2:52" s="177" customFormat="1" ht="15.75" customHeight="1" x14ac:dyDescent="0.3">
      <c r="B17" s="134"/>
      <c r="C17" s="134"/>
      <c r="D17" s="620"/>
      <c r="E17" s="620"/>
      <c r="F17" s="620"/>
      <c r="G17" s="620"/>
      <c r="H17" s="620"/>
      <c r="I17" s="620"/>
      <c r="J17" s="620"/>
      <c r="K17" s="620"/>
      <c r="L17" s="620"/>
      <c r="M17" s="620"/>
      <c r="N17" s="620"/>
      <c r="Q17" s="259" t="s">
        <v>631</v>
      </c>
      <c r="R17" s="134" t="str">
        <f>IFERROR(IF(R16&gt;=0.5,$P$9,$P$10),"")</f>
        <v/>
      </c>
      <c r="S17" s="134" t="str">
        <f t="shared" ref="S17:X17" si="4">IFERROR(IF(S16&gt;=0.5,$P$9,$P$10),"")</f>
        <v/>
      </c>
      <c r="T17" s="134" t="str">
        <f t="shared" si="4"/>
        <v/>
      </c>
      <c r="U17" s="134" t="str">
        <f t="shared" si="4"/>
        <v/>
      </c>
      <c r="V17" s="134" t="str">
        <f t="shared" si="4"/>
        <v/>
      </c>
      <c r="W17" s="134" t="str">
        <f t="shared" si="4"/>
        <v/>
      </c>
      <c r="X17" s="134" t="str">
        <f t="shared" si="4"/>
        <v/>
      </c>
      <c r="Y17" s="134"/>
      <c r="Z17" s="134"/>
      <c r="AA17" s="135"/>
      <c r="AB17" s="134"/>
      <c r="AC17" s="134"/>
      <c r="AD17" s="620"/>
      <c r="AE17" s="620"/>
      <c r="AF17" s="620"/>
      <c r="AG17" s="620"/>
      <c r="AH17" s="620"/>
      <c r="AI17" s="620"/>
      <c r="AJ17" s="620"/>
      <c r="AK17" s="620"/>
      <c r="AL17" s="620"/>
      <c r="AM17" s="620"/>
      <c r="AN17" s="620"/>
      <c r="AQ17" s="259" t="s">
        <v>631</v>
      </c>
      <c r="AR17" s="134" t="str">
        <f>IFERROR(IF(AR16&gt;=0.5,$P$9,$P$10),"")</f>
        <v/>
      </c>
      <c r="AS17" s="134" t="str">
        <f t="shared" ref="AS17" si="5">IFERROR(IF(AS16&gt;=0.5,$P$9,$P$10),"")</f>
        <v/>
      </c>
      <c r="AT17" s="134" t="str">
        <f t="shared" ref="AT17" si="6">IFERROR(IF(AT16&gt;=0.5,$P$9,$P$10),"")</f>
        <v/>
      </c>
      <c r="AU17" s="134" t="str">
        <f t="shared" ref="AU17" si="7">IFERROR(IF(AU16&gt;=0.5,$P$9,$P$10),"")</f>
        <v/>
      </c>
      <c r="AV17" s="134" t="str">
        <f t="shared" ref="AV17" si="8">IFERROR(IF(AV16&gt;=0.5,$P$9,$P$10),"")</f>
        <v/>
      </c>
      <c r="AW17" s="134" t="str">
        <f t="shared" ref="AW17" si="9">IFERROR(IF(AW16&gt;=0.5,$P$9,$P$10),"")</f>
        <v/>
      </c>
      <c r="AX17" s="134" t="str">
        <f t="shared" ref="AX17" si="10">IFERROR(IF(AX16&gt;=0.5,$P$9,$P$10),"")</f>
        <v/>
      </c>
      <c r="AY17" s="134"/>
      <c r="AZ17" s="134"/>
    </row>
    <row r="18" spans="2:52" ht="16.5" customHeight="1" thickBot="1" x14ac:dyDescent="0.35">
      <c r="D18" s="177"/>
      <c r="E18" s="177"/>
      <c r="F18" s="177"/>
      <c r="G18" s="606" t="s">
        <v>317</v>
      </c>
      <c r="H18" s="606"/>
      <c r="I18" s="606"/>
      <c r="J18" s="606"/>
      <c r="K18" s="177"/>
      <c r="L18" s="177"/>
      <c r="M18" s="177"/>
      <c r="N18" s="177"/>
      <c r="O18" s="177"/>
      <c r="P18" s="1"/>
      <c r="Q18" s="85" t="s">
        <v>178</v>
      </c>
      <c r="R18" s="185" t="str">
        <f>IFERROR(IF(R17="Yes",1,""),"")</f>
        <v/>
      </c>
      <c r="S18" s="185" t="str">
        <f t="shared" ref="S18:X18" si="11">IFERROR(IF(S17="Yes",1,""),"")</f>
        <v/>
      </c>
      <c r="T18" s="185" t="str">
        <f t="shared" si="11"/>
        <v/>
      </c>
      <c r="U18" s="185" t="str">
        <f t="shared" si="11"/>
        <v/>
      </c>
      <c r="V18" s="185" t="str">
        <f t="shared" si="11"/>
        <v/>
      </c>
      <c r="W18" s="185" t="str">
        <f t="shared" si="11"/>
        <v/>
      </c>
      <c r="X18" s="185" t="str">
        <f t="shared" si="11"/>
        <v/>
      </c>
      <c r="AA18" s="50"/>
      <c r="AD18" s="177"/>
      <c r="AE18" s="177"/>
      <c r="AF18" s="177"/>
      <c r="AG18" s="606" t="s">
        <v>317</v>
      </c>
      <c r="AH18" s="606"/>
      <c r="AI18" s="606"/>
      <c r="AJ18" s="606"/>
      <c r="AK18" s="177"/>
      <c r="AL18" s="177"/>
      <c r="AM18" s="177"/>
      <c r="AN18" s="177"/>
      <c r="AO18" s="177"/>
      <c r="AP18" s="1"/>
      <c r="AQ18" s="85" t="s">
        <v>178</v>
      </c>
      <c r="AR18" s="185" t="str">
        <f>IFERROR(IF(AR17="Yes",1,""),"")</f>
        <v/>
      </c>
      <c r="AS18" s="185" t="str">
        <f t="shared" ref="AS18" si="12">IFERROR(IF(AS17="Yes",1,""),"")</f>
        <v/>
      </c>
      <c r="AT18" s="185" t="str">
        <f t="shared" ref="AT18" si="13">IFERROR(IF(AT17="Yes",1,""),"")</f>
        <v/>
      </c>
      <c r="AU18" s="185" t="str">
        <f t="shared" ref="AU18" si="14">IFERROR(IF(AU17="Yes",1,""),"")</f>
        <v/>
      </c>
      <c r="AV18" s="185" t="str">
        <f t="shared" ref="AV18" si="15">IFERROR(IF(AV17="Yes",1,""),"")</f>
        <v/>
      </c>
      <c r="AW18" s="185" t="str">
        <f t="shared" ref="AW18" si="16">IFERROR(IF(AW17="Yes",1,""),"")</f>
        <v/>
      </c>
      <c r="AX18" s="185" t="str">
        <f t="shared" ref="AX18" si="17">IFERROR(IF(AX17="Yes",1,""),"")</f>
        <v/>
      </c>
    </row>
    <row r="19" spans="2:52" ht="16.5" customHeight="1" x14ac:dyDescent="0.3">
      <c r="D19" s="177"/>
      <c r="E19" s="177"/>
      <c r="F19" s="177"/>
      <c r="G19" s="607" t="s">
        <v>318</v>
      </c>
      <c r="H19" s="607"/>
      <c r="I19" s="608" t="s">
        <v>319</v>
      </c>
      <c r="J19" s="608"/>
      <c r="K19" s="177"/>
      <c r="L19" s="177"/>
      <c r="M19" s="177"/>
      <c r="N19" s="177"/>
      <c r="O19" s="177"/>
      <c r="P19" s="1"/>
      <c r="Q19" s="85"/>
      <c r="AA19" s="50"/>
      <c r="AD19" s="177"/>
      <c r="AE19" s="177"/>
      <c r="AF19" s="177"/>
      <c r="AG19" s="607" t="s">
        <v>318</v>
      </c>
      <c r="AH19" s="607"/>
      <c r="AI19" s="608" t="s">
        <v>319</v>
      </c>
      <c r="AJ19" s="608"/>
      <c r="AK19" s="177"/>
      <c r="AL19" s="177"/>
      <c r="AM19" s="177"/>
      <c r="AN19" s="177"/>
      <c r="AO19" s="177"/>
      <c r="AP19" s="1"/>
      <c r="AQ19" s="85"/>
    </row>
    <row r="20" spans="2:52" ht="16.5" customHeight="1" x14ac:dyDescent="0.3">
      <c r="D20" s="177"/>
      <c r="E20" s="177"/>
      <c r="F20" s="177"/>
      <c r="G20" s="609" t="s">
        <v>320</v>
      </c>
      <c r="H20" s="609"/>
      <c r="I20" s="610" t="s">
        <v>626</v>
      </c>
      <c r="J20" s="610"/>
      <c r="K20" s="177"/>
      <c r="L20" s="177"/>
      <c r="M20" s="177"/>
      <c r="N20" s="177"/>
      <c r="O20" s="177"/>
      <c r="P20" s="1"/>
      <c r="Q20" s="85"/>
      <c r="AA20" s="50"/>
      <c r="AD20" s="177"/>
      <c r="AE20" s="177"/>
      <c r="AF20" s="177"/>
      <c r="AG20" s="609" t="s">
        <v>320</v>
      </c>
      <c r="AH20" s="609"/>
      <c r="AI20" s="610" t="s">
        <v>626</v>
      </c>
      <c r="AJ20" s="610"/>
      <c r="AK20" s="177"/>
      <c r="AL20" s="177"/>
      <c r="AM20" s="177"/>
      <c r="AN20" s="177"/>
      <c r="AO20" s="177"/>
      <c r="AP20" s="1"/>
      <c r="AQ20" s="85"/>
    </row>
    <row r="21" spans="2:52" ht="16.5" customHeight="1" x14ac:dyDescent="0.3">
      <c r="D21" s="177"/>
      <c r="E21" s="177"/>
      <c r="F21" s="177"/>
      <c r="G21" s="609" t="s">
        <v>137</v>
      </c>
      <c r="H21" s="609"/>
      <c r="I21" s="610" t="s">
        <v>626</v>
      </c>
      <c r="J21" s="610"/>
      <c r="K21" s="177"/>
      <c r="L21" s="177"/>
      <c r="M21" s="177"/>
      <c r="N21" s="177"/>
      <c r="O21" s="177"/>
      <c r="P21" s="1"/>
      <c r="Q21" s="85"/>
      <c r="AA21" s="50"/>
      <c r="AD21" s="177"/>
      <c r="AE21" s="177"/>
      <c r="AF21" s="177"/>
      <c r="AG21" s="609" t="s">
        <v>137</v>
      </c>
      <c r="AH21" s="609"/>
      <c r="AI21" s="610" t="s">
        <v>626</v>
      </c>
      <c r="AJ21" s="610"/>
      <c r="AK21" s="177"/>
      <c r="AL21" s="177"/>
      <c r="AM21" s="177"/>
      <c r="AN21" s="177"/>
      <c r="AO21" s="177"/>
      <c r="AP21" s="1"/>
      <c r="AQ21" s="85"/>
    </row>
    <row r="22" spans="2:52" ht="16.5" customHeight="1" x14ac:dyDescent="0.3">
      <c r="D22" s="177"/>
      <c r="E22" s="177"/>
      <c r="F22" s="177"/>
      <c r="G22" s="609" t="s">
        <v>27</v>
      </c>
      <c r="H22" s="609"/>
      <c r="I22" s="610" t="s">
        <v>626</v>
      </c>
      <c r="J22" s="610"/>
      <c r="K22" s="177"/>
      <c r="L22" s="177"/>
      <c r="M22" s="177"/>
      <c r="N22" s="177"/>
      <c r="O22" s="177"/>
      <c r="P22" s="1"/>
      <c r="Q22" s="85"/>
      <c r="AA22" s="50"/>
      <c r="AD22" s="177"/>
      <c r="AE22" s="177"/>
      <c r="AF22" s="177"/>
      <c r="AG22" s="609" t="s">
        <v>27</v>
      </c>
      <c r="AH22" s="609"/>
      <c r="AI22" s="610" t="s">
        <v>626</v>
      </c>
      <c r="AJ22" s="610"/>
      <c r="AK22" s="177"/>
      <c r="AL22" s="177"/>
      <c r="AM22" s="177"/>
      <c r="AN22" s="177"/>
      <c r="AO22" s="177"/>
      <c r="AP22" s="1"/>
      <c r="AQ22" s="85"/>
    </row>
    <row r="23" spans="2:52" ht="16.5" customHeight="1" x14ac:dyDescent="0.3">
      <c r="D23" s="177"/>
      <c r="E23" s="177"/>
      <c r="F23" s="177"/>
      <c r="G23" s="609" t="s">
        <v>321</v>
      </c>
      <c r="H23" s="609"/>
      <c r="I23" s="610" t="s">
        <v>627</v>
      </c>
      <c r="J23" s="610"/>
      <c r="K23" s="177"/>
      <c r="L23" s="177"/>
      <c r="M23" s="177"/>
      <c r="N23" s="177"/>
      <c r="O23" s="177"/>
      <c r="P23" s="1"/>
      <c r="Q23" s="85"/>
      <c r="AA23" s="50"/>
      <c r="AD23" s="177"/>
      <c r="AE23" s="177"/>
      <c r="AF23" s="177"/>
      <c r="AG23" s="609" t="s">
        <v>321</v>
      </c>
      <c r="AH23" s="609"/>
      <c r="AI23" s="610" t="s">
        <v>627</v>
      </c>
      <c r="AJ23" s="610"/>
      <c r="AK23" s="177"/>
      <c r="AL23" s="177"/>
      <c r="AM23" s="177"/>
      <c r="AN23" s="177"/>
      <c r="AO23" s="177"/>
      <c r="AP23" s="1"/>
      <c r="AQ23" s="85"/>
    </row>
    <row r="24" spans="2:52" ht="16.5" customHeight="1" x14ac:dyDescent="0.3">
      <c r="D24" s="177"/>
      <c r="E24" s="177"/>
      <c r="F24" s="177"/>
      <c r="G24" s="183"/>
      <c r="H24" s="183"/>
      <c r="I24" s="169"/>
      <c r="J24" s="169"/>
      <c r="K24" s="177"/>
      <c r="L24" s="177"/>
      <c r="M24" s="177"/>
      <c r="N24" s="177"/>
      <c r="O24" s="177"/>
      <c r="P24" s="1"/>
      <c r="Q24" s="391"/>
      <c r="AA24" s="50"/>
      <c r="AD24" s="177"/>
      <c r="AE24" s="177"/>
      <c r="AF24" s="177"/>
      <c r="AG24" s="183"/>
      <c r="AH24" s="183"/>
      <c r="AI24" s="169"/>
      <c r="AJ24" s="169"/>
      <c r="AK24" s="177"/>
      <c r="AL24" s="177"/>
      <c r="AM24" s="177"/>
      <c r="AN24" s="177"/>
      <c r="AO24" s="177"/>
      <c r="AP24" s="1"/>
      <c r="AQ24" s="85"/>
    </row>
    <row r="25" spans="2:52" ht="112.5" customHeight="1" x14ac:dyDescent="0.3">
      <c r="D25" s="434" t="s">
        <v>628</v>
      </c>
      <c r="E25" s="434"/>
      <c r="F25" s="434"/>
      <c r="G25" s="434"/>
      <c r="H25" s="434"/>
      <c r="I25" s="434"/>
      <c r="J25" s="434"/>
      <c r="K25" s="434"/>
      <c r="L25" s="434"/>
      <c r="M25" s="434"/>
      <c r="N25" s="434"/>
      <c r="O25" s="335"/>
      <c r="P25" s="1"/>
      <c r="Q25" s="85"/>
      <c r="AA25" s="50"/>
      <c r="AD25" s="434" t="s">
        <v>628</v>
      </c>
      <c r="AE25" s="434"/>
      <c r="AF25" s="434"/>
      <c r="AG25" s="434"/>
      <c r="AH25" s="434"/>
      <c r="AI25" s="434"/>
      <c r="AJ25" s="434"/>
      <c r="AK25" s="434"/>
      <c r="AL25" s="434"/>
      <c r="AM25" s="434"/>
      <c r="AN25" s="434"/>
      <c r="AO25" s="335"/>
      <c r="AP25" s="1"/>
      <c r="AQ25" s="85"/>
    </row>
    <row r="26" spans="2:52" ht="16.5" customHeight="1" x14ac:dyDescent="0.3">
      <c r="D26" s="335"/>
      <c r="E26" s="335"/>
      <c r="F26" s="335"/>
      <c r="G26" s="335"/>
      <c r="H26" s="335"/>
      <c r="I26" s="335"/>
      <c r="J26" s="335"/>
      <c r="K26" s="335"/>
      <c r="L26" s="335"/>
      <c r="M26" s="335"/>
      <c r="N26" s="335"/>
      <c r="O26" s="335"/>
      <c r="P26" s="1"/>
      <c r="Q26" s="85"/>
      <c r="AA26" s="50"/>
      <c r="AD26" s="335"/>
      <c r="AE26" s="335"/>
      <c r="AF26" s="335"/>
      <c r="AG26" s="335"/>
      <c r="AH26" s="335"/>
      <c r="AI26" s="335"/>
      <c r="AJ26" s="335"/>
      <c r="AK26" s="335"/>
      <c r="AL26" s="335"/>
      <c r="AM26" s="335"/>
      <c r="AN26" s="335"/>
      <c r="AO26" s="335"/>
      <c r="AP26" s="1"/>
      <c r="AQ26" s="85"/>
    </row>
    <row r="27" spans="2:52" ht="33" customHeight="1" x14ac:dyDescent="0.3">
      <c r="D27" s="434" t="s">
        <v>630</v>
      </c>
      <c r="E27" s="434"/>
      <c r="F27" s="434"/>
      <c r="G27" s="434"/>
      <c r="H27" s="434"/>
      <c r="I27" s="434"/>
      <c r="J27" s="434"/>
      <c r="K27" s="434"/>
      <c r="L27" s="434"/>
      <c r="M27" s="434"/>
      <c r="N27" s="434"/>
      <c r="O27" s="335"/>
      <c r="P27" s="1"/>
      <c r="Q27" s="85"/>
      <c r="AA27" s="50"/>
      <c r="AD27" s="434" t="s">
        <v>630</v>
      </c>
      <c r="AE27" s="434"/>
      <c r="AF27" s="434"/>
      <c r="AG27" s="434"/>
      <c r="AH27" s="434"/>
      <c r="AI27" s="434"/>
      <c r="AJ27" s="434"/>
      <c r="AK27" s="434"/>
      <c r="AL27" s="434"/>
      <c r="AM27" s="434"/>
      <c r="AN27" s="434"/>
      <c r="AO27" s="335"/>
      <c r="AP27" s="1"/>
      <c r="AQ27" s="85"/>
    </row>
    <row r="28" spans="2:52" ht="16.5" customHeight="1" x14ac:dyDescent="0.3">
      <c r="P28" s="1"/>
      <c r="Q28" s="85"/>
      <c r="AA28" s="50"/>
      <c r="AP28" s="1"/>
      <c r="AQ28" s="85"/>
    </row>
    <row r="29" spans="2:52" ht="16.5" customHeight="1" thickBot="1" x14ac:dyDescent="0.35">
      <c r="D29" s="407" t="s">
        <v>310</v>
      </c>
      <c r="E29" s="407"/>
      <c r="F29" s="407"/>
      <c r="G29" s="407"/>
      <c r="H29" s="407"/>
      <c r="I29" s="407"/>
      <c r="J29" s="407"/>
      <c r="K29" s="407"/>
      <c r="L29" s="407"/>
      <c r="M29" s="407"/>
      <c r="N29" s="407"/>
      <c r="O29" s="230"/>
      <c r="P29" s="1"/>
      <c r="AA29" s="50"/>
      <c r="AD29" s="407" t="s">
        <v>310</v>
      </c>
      <c r="AE29" s="407"/>
      <c r="AF29" s="407"/>
      <c r="AG29" s="407"/>
      <c r="AH29" s="407"/>
      <c r="AI29" s="407"/>
      <c r="AJ29" s="407"/>
      <c r="AK29" s="407"/>
      <c r="AL29" s="407"/>
      <c r="AM29" s="407"/>
      <c r="AN29" s="407"/>
      <c r="AO29" s="230"/>
      <c r="AP29" s="1"/>
    </row>
    <row r="30" spans="2:52" ht="15.75" customHeight="1" x14ac:dyDescent="0.3">
      <c r="B30" s="2"/>
      <c r="C30" s="2"/>
      <c r="F30" s="7"/>
      <c r="G30" s="7"/>
      <c r="H30" s="7"/>
      <c r="I30" s="7"/>
      <c r="J30" s="7"/>
      <c r="K30" s="7"/>
      <c r="L30" s="7"/>
      <c r="M30" s="22" t="s">
        <v>29</v>
      </c>
      <c r="N30" s="6">
        <f>P16</f>
        <v>0</v>
      </c>
      <c r="O30" s="240"/>
      <c r="AA30" s="50"/>
      <c r="AF30" s="7"/>
      <c r="AG30" s="7"/>
      <c r="AH30" s="7"/>
      <c r="AI30" s="7"/>
      <c r="AJ30" s="7"/>
      <c r="AK30" s="7"/>
      <c r="AL30" s="7"/>
      <c r="AM30" s="22" t="s">
        <v>29</v>
      </c>
      <c r="AN30" s="6">
        <f>AP16</f>
        <v>0</v>
      </c>
      <c r="AO30" s="240"/>
    </row>
    <row r="31" spans="2:52" ht="66" customHeight="1" thickBot="1" x14ac:dyDescent="0.35">
      <c r="B31" s="339"/>
      <c r="C31" s="339"/>
      <c r="D31" s="230" t="s">
        <v>52</v>
      </c>
      <c r="E31" s="87" t="s">
        <v>632</v>
      </c>
      <c r="F31" s="230" t="s">
        <v>32</v>
      </c>
      <c r="G31" s="407" t="s">
        <v>176</v>
      </c>
      <c r="H31" s="407"/>
      <c r="I31" s="407"/>
      <c r="J31" s="407"/>
      <c r="K31" s="407"/>
      <c r="L31" s="407"/>
      <c r="M31" s="407"/>
      <c r="N31" s="407"/>
      <c r="O31" s="230"/>
      <c r="AA31" s="50"/>
      <c r="AB31" s="342"/>
      <c r="AC31" s="342"/>
      <c r="AD31" s="230" t="s">
        <v>52</v>
      </c>
      <c r="AE31" s="87" t="s">
        <v>632</v>
      </c>
      <c r="AF31" s="230" t="s">
        <v>32</v>
      </c>
      <c r="AG31" s="407" t="s">
        <v>176</v>
      </c>
      <c r="AH31" s="407"/>
      <c r="AI31" s="407"/>
      <c r="AJ31" s="407"/>
      <c r="AK31" s="407"/>
      <c r="AL31" s="407"/>
      <c r="AM31" s="407"/>
      <c r="AN31" s="407"/>
      <c r="AO31" s="230"/>
      <c r="AY31" s="342"/>
      <c r="AZ31" s="342"/>
    </row>
    <row r="32" spans="2:52" s="145" customFormat="1" ht="80.25" customHeight="1" x14ac:dyDescent="0.3">
      <c r="B32" s="128"/>
      <c r="D32" s="249" t="str">
        <f>R18</f>
        <v/>
      </c>
      <c r="E32" s="250" t="str">
        <f>R17</f>
        <v/>
      </c>
      <c r="F32" s="246" t="s">
        <v>302</v>
      </c>
      <c r="G32" s="622" t="s">
        <v>309</v>
      </c>
      <c r="H32" s="623"/>
      <c r="I32" s="623"/>
      <c r="J32" s="623"/>
      <c r="K32" s="623"/>
      <c r="L32" s="623"/>
      <c r="M32" s="623"/>
      <c r="N32" s="624"/>
      <c r="O32" s="335"/>
      <c r="P32" s="146"/>
      <c r="Q32" s="146"/>
      <c r="R32" s="146"/>
      <c r="S32" s="146"/>
      <c r="T32" s="146"/>
      <c r="U32" s="146"/>
      <c r="V32" s="146"/>
      <c r="W32" s="146"/>
      <c r="X32" s="146"/>
      <c r="Y32" s="146"/>
      <c r="Z32" s="146"/>
      <c r="AA32" s="147"/>
      <c r="AB32" s="621"/>
      <c r="AC32" s="146"/>
      <c r="AD32" s="249" t="str">
        <f>AR18</f>
        <v/>
      </c>
      <c r="AE32" s="250" t="str">
        <f>AR17</f>
        <v/>
      </c>
      <c r="AF32" s="246" t="s">
        <v>302</v>
      </c>
      <c r="AG32" s="622" t="s">
        <v>309</v>
      </c>
      <c r="AH32" s="623"/>
      <c r="AI32" s="623"/>
      <c r="AJ32" s="623"/>
      <c r="AK32" s="623"/>
      <c r="AL32" s="623"/>
      <c r="AM32" s="623"/>
      <c r="AN32" s="624"/>
      <c r="AO32" s="335"/>
      <c r="AP32" s="146"/>
      <c r="AQ32" s="146"/>
      <c r="AR32" s="146"/>
      <c r="AS32" s="146"/>
      <c r="AT32" s="146"/>
      <c r="AU32" s="146"/>
      <c r="AV32" s="146"/>
      <c r="AW32" s="146"/>
      <c r="AX32" s="146"/>
      <c r="AY32" s="621"/>
      <c r="AZ32" s="146"/>
    </row>
    <row r="33" spans="2:52" s="145" customFormat="1" ht="144.75" customHeight="1" x14ac:dyDescent="0.3">
      <c r="B33" s="128"/>
      <c r="D33" s="251" t="str">
        <f>S18</f>
        <v/>
      </c>
      <c r="E33" s="252" t="str">
        <f>S17</f>
        <v/>
      </c>
      <c r="F33" s="247" t="s">
        <v>303</v>
      </c>
      <c r="G33" s="473" t="s">
        <v>311</v>
      </c>
      <c r="H33" s="474"/>
      <c r="I33" s="474"/>
      <c r="J33" s="474"/>
      <c r="K33" s="474"/>
      <c r="L33" s="474"/>
      <c r="M33" s="474"/>
      <c r="N33" s="611"/>
      <c r="O33" s="335"/>
      <c r="P33" s="146"/>
      <c r="Q33" s="146"/>
      <c r="R33" s="146"/>
      <c r="S33" s="146"/>
      <c r="T33" s="146"/>
      <c r="U33" s="146"/>
      <c r="V33" s="146"/>
      <c r="W33" s="146"/>
      <c r="X33" s="146"/>
      <c r="Y33" s="146"/>
      <c r="Z33" s="146"/>
      <c r="AA33" s="147"/>
      <c r="AB33" s="621"/>
      <c r="AC33" s="146"/>
      <c r="AD33" s="251" t="str">
        <f>AS18</f>
        <v/>
      </c>
      <c r="AE33" s="252" t="str">
        <f>AS17</f>
        <v/>
      </c>
      <c r="AF33" s="247" t="s">
        <v>303</v>
      </c>
      <c r="AG33" s="473" t="s">
        <v>311</v>
      </c>
      <c r="AH33" s="474"/>
      <c r="AI33" s="474"/>
      <c r="AJ33" s="474"/>
      <c r="AK33" s="474"/>
      <c r="AL33" s="474"/>
      <c r="AM33" s="474"/>
      <c r="AN33" s="611"/>
      <c r="AO33" s="335"/>
      <c r="AP33" s="146"/>
      <c r="AQ33" s="146"/>
      <c r="AR33" s="146"/>
      <c r="AS33" s="146"/>
      <c r="AT33" s="146"/>
      <c r="AU33" s="146"/>
      <c r="AV33" s="146"/>
      <c r="AW33" s="146"/>
      <c r="AX33" s="146"/>
      <c r="AY33" s="621"/>
      <c r="AZ33" s="146"/>
    </row>
    <row r="34" spans="2:52" s="145" customFormat="1" ht="81.75" customHeight="1" x14ac:dyDescent="0.3">
      <c r="B34" s="128"/>
      <c r="D34" s="251" t="str">
        <f>T18</f>
        <v/>
      </c>
      <c r="E34" s="252" t="str">
        <f>T17</f>
        <v/>
      </c>
      <c r="F34" s="247" t="s">
        <v>304</v>
      </c>
      <c r="G34" s="473" t="s">
        <v>312</v>
      </c>
      <c r="H34" s="474"/>
      <c r="I34" s="474"/>
      <c r="J34" s="474"/>
      <c r="K34" s="474"/>
      <c r="L34" s="474"/>
      <c r="M34" s="474"/>
      <c r="N34" s="611"/>
      <c r="O34" s="335"/>
      <c r="P34" s="146"/>
      <c r="Q34" s="146"/>
      <c r="R34" s="146"/>
      <c r="S34" s="146"/>
      <c r="T34" s="146"/>
      <c r="U34" s="146"/>
      <c r="V34" s="146"/>
      <c r="W34" s="146"/>
      <c r="X34" s="146"/>
      <c r="Y34" s="146"/>
      <c r="Z34" s="146"/>
      <c r="AA34" s="147"/>
      <c r="AB34" s="621"/>
      <c r="AC34" s="146"/>
      <c r="AD34" s="251" t="str">
        <f>AT18</f>
        <v/>
      </c>
      <c r="AE34" s="252" t="str">
        <f>AT17</f>
        <v/>
      </c>
      <c r="AF34" s="247" t="s">
        <v>304</v>
      </c>
      <c r="AG34" s="473" t="s">
        <v>312</v>
      </c>
      <c r="AH34" s="474"/>
      <c r="AI34" s="474"/>
      <c r="AJ34" s="474"/>
      <c r="AK34" s="474"/>
      <c r="AL34" s="474"/>
      <c r="AM34" s="474"/>
      <c r="AN34" s="611"/>
      <c r="AO34" s="335"/>
      <c r="AP34" s="146"/>
      <c r="AQ34" s="146"/>
      <c r="AR34" s="146"/>
      <c r="AS34" s="146"/>
      <c r="AT34" s="146"/>
      <c r="AU34" s="146"/>
      <c r="AV34" s="146"/>
      <c r="AW34" s="146"/>
      <c r="AX34" s="146"/>
      <c r="AY34" s="621"/>
      <c r="AZ34" s="146"/>
    </row>
    <row r="35" spans="2:52" s="145" customFormat="1" ht="32.25" customHeight="1" x14ac:dyDescent="0.3">
      <c r="B35" s="128"/>
      <c r="D35" s="251" t="str">
        <f>U18</f>
        <v/>
      </c>
      <c r="E35" s="252" t="str">
        <f>U17</f>
        <v/>
      </c>
      <c r="F35" s="247" t="s">
        <v>305</v>
      </c>
      <c r="G35" s="447" t="s">
        <v>313</v>
      </c>
      <c r="H35" s="448"/>
      <c r="I35" s="448"/>
      <c r="J35" s="448"/>
      <c r="K35" s="448"/>
      <c r="L35" s="448"/>
      <c r="M35" s="448"/>
      <c r="N35" s="612"/>
      <c r="O35" s="335"/>
      <c r="P35" s="146"/>
      <c r="Q35" s="146"/>
      <c r="R35" s="146"/>
      <c r="S35" s="146"/>
      <c r="T35" s="146"/>
      <c r="U35" s="146"/>
      <c r="V35" s="146"/>
      <c r="W35" s="146"/>
      <c r="X35" s="146"/>
      <c r="Y35" s="146"/>
      <c r="Z35" s="146"/>
      <c r="AA35" s="147"/>
      <c r="AB35" s="621"/>
      <c r="AC35" s="146"/>
      <c r="AD35" s="251" t="str">
        <f>AU18</f>
        <v/>
      </c>
      <c r="AE35" s="252" t="str">
        <f>AU17</f>
        <v/>
      </c>
      <c r="AF35" s="247" t="s">
        <v>305</v>
      </c>
      <c r="AG35" s="447" t="s">
        <v>313</v>
      </c>
      <c r="AH35" s="448"/>
      <c r="AI35" s="448"/>
      <c r="AJ35" s="448"/>
      <c r="AK35" s="448"/>
      <c r="AL35" s="448"/>
      <c r="AM35" s="448"/>
      <c r="AN35" s="612"/>
      <c r="AO35" s="335"/>
      <c r="AP35" s="146"/>
      <c r="AQ35" s="146"/>
      <c r="AR35" s="146"/>
      <c r="AS35" s="146"/>
      <c r="AT35" s="146"/>
      <c r="AU35" s="146"/>
      <c r="AV35" s="146"/>
      <c r="AW35" s="146"/>
      <c r="AX35" s="146"/>
      <c r="AY35" s="621"/>
      <c r="AZ35" s="146"/>
    </row>
    <row r="36" spans="2:52" s="145" customFormat="1" ht="81" customHeight="1" x14ac:dyDescent="0.3">
      <c r="B36" s="128"/>
      <c r="D36" s="251" t="str">
        <f>V18</f>
        <v/>
      </c>
      <c r="E36" s="252" t="str">
        <f>V17</f>
        <v/>
      </c>
      <c r="F36" s="247" t="s">
        <v>306</v>
      </c>
      <c r="G36" s="473" t="s">
        <v>314</v>
      </c>
      <c r="H36" s="474"/>
      <c r="I36" s="474"/>
      <c r="J36" s="474"/>
      <c r="K36" s="474"/>
      <c r="L36" s="474"/>
      <c r="M36" s="474"/>
      <c r="N36" s="611"/>
      <c r="O36" s="335"/>
      <c r="P36" s="146"/>
      <c r="Q36" s="146"/>
      <c r="R36" s="146"/>
      <c r="S36" s="146"/>
      <c r="T36" s="146"/>
      <c r="U36" s="146"/>
      <c r="V36" s="146"/>
      <c r="W36" s="146"/>
      <c r="X36" s="146"/>
      <c r="Y36" s="146"/>
      <c r="Z36" s="146"/>
      <c r="AA36" s="147"/>
      <c r="AB36" s="621"/>
      <c r="AC36" s="146"/>
      <c r="AD36" s="251" t="str">
        <f>AV18</f>
        <v/>
      </c>
      <c r="AE36" s="252" t="str">
        <f>AV17</f>
        <v/>
      </c>
      <c r="AF36" s="247" t="s">
        <v>306</v>
      </c>
      <c r="AG36" s="473" t="s">
        <v>314</v>
      </c>
      <c r="AH36" s="474"/>
      <c r="AI36" s="474"/>
      <c r="AJ36" s="474"/>
      <c r="AK36" s="474"/>
      <c r="AL36" s="474"/>
      <c r="AM36" s="474"/>
      <c r="AN36" s="611"/>
      <c r="AO36" s="335"/>
      <c r="AP36" s="146"/>
      <c r="AQ36" s="146"/>
      <c r="AR36" s="146"/>
      <c r="AS36" s="146"/>
      <c r="AT36" s="146"/>
      <c r="AU36" s="146"/>
      <c r="AV36" s="146"/>
      <c r="AW36" s="146"/>
      <c r="AX36" s="146"/>
      <c r="AY36" s="621"/>
      <c r="AZ36" s="146"/>
    </row>
    <row r="37" spans="2:52" s="145" customFormat="1" ht="33" customHeight="1" x14ac:dyDescent="0.3">
      <c r="B37" s="128"/>
      <c r="D37" s="251" t="str">
        <f>W18</f>
        <v/>
      </c>
      <c r="E37" s="252" t="str">
        <f>W17</f>
        <v/>
      </c>
      <c r="F37" s="247" t="s">
        <v>307</v>
      </c>
      <c r="G37" s="473" t="s">
        <v>315</v>
      </c>
      <c r="H37" s="474"/>
      <c r="I37" s="474"/>
      <c r="J37" s="474"/>
      <c r="K37" s="474"/>
      <c r="L37" s="474"/>
      <c r="M37" s="474"/>
      <c r="N37" s="611"/>
      <c r="O37" s="335"/>
      <c r="P37" s="146"/>
      <c r="Q37" s="146"/>
      <c r="R37" s="146"/>
      <c r="S37" s="146"/>
      <c r="T37" s="146"/>
      <c r="U37" s="146"/>
      <c r="V37" s="146"/>
      <c r="W37" s="146"/>
      <c r="X37" s="146"/>
      <c r="Y37" s="146"/>
      <c r="Z37" s="146"/>
      <c r="AA37" s="147"/>
      <c r="AB37" s="621"/>
      <c r="AC37" s="146"/>
      <c r="AD37" s="251" t="str">
        <f>AW18</f>
        <v/>
      </c>
      <c r="AE37" s="252" t="str">
        <f>AW17</f>
        <v/>
      </c>
      <c r="AF37" s="247" t="s">
        <v>307</v>
      </c>
      <c r="AG37" s="473" t="s">
        <v>315</v>
      </c>
      <c r="AH37" s="474"/>
      <c r="AI37" s="474"/>
      <c r="AJ37" s="474"/>
      <c r="AK37" s="474"/>
      <c r="AL37" s="474"/>
      <c r="AM37" s="474"/>
      <c r="AN37" s="611"/>
      <c r="AO37" s="335"/>
      <c r="AP37" s="146"/>
      <c r="AQ37" s="146"/>
      <c r="AR37" s="146"/>
      <c r="AS37" s="146"/>
      <c r="AT37" s="146"/>
      <c r="AU37" s="146"/>
      <c r="AV37" s="146"/>
      <c r="AW37" s="146"/>
      <c r="AX37" s="146"/>
      <c r="AY37" s="621"/>
      <c r="AZ37" s="146"/>
    </row>
    <row r="38" spans="2:52" s="145" customFormat="1" ht="97.5" customHeight="1" thickBot="1" x14ac:dyDescent="0.35">
      <c r="B38" s="128"/>
      <c r="D38" s="253" t="str">
        <f>X18</f>
        <v/>
      </c>
      <c r="E38" s="254" t="str">
        <f>X17</f>
        <v/>
      </c>
      <c r="F38" s="248" t="s">
        <v>308</v>
      </c>
      <c r="G38" s="613" t="s">
        <v>316</v>
      </c>
      <c r="H38" s="614"/>
      <c r="I38" s="614"/>
      <c r="J38" s="614"/>
      <c r="K38" s="614"/>
      <c r="L38" s="614"/>
      <c r="M38" s="614"/>
      <c r="N38" s="615"/>
      <c r="O38" s="335"/>
      <c r="P38" s="146"/>
      <c r="Q38" s="146"/>
      <c r="R38" s="146"/>
      <c r="S38" s="146"/>
      <c r="T38" s="146"/>
      <c r="U38" s="146"/>
      <c r="V38" s="146"/>
      <c r="W38" s="146"/>
      <c r="X38" s="146"/>
      <c r="Y38" s="146"/>
      <c r="Z38" s="146"/>
      <c r="AA38" s="147"/>
      <c r="AB38" s="621"/>
      <c r="AC38" s="146"/>
      <c r="AD38" s="253" t="str">
        <f>AX18</f>
        <v/>
      </c>
      <c r="AE38" s="254" t="str">
        <f>AX17</f>
        <v/>
      </c>
      <c r="AF38" s="248" t="s">
        <v>308</v>
      </c>
      <c r="AG38" s="613" t="s">
        <v>316</v>
      </c>
      <c r="AH38" s="614"/>
      <c r="AI38" s="614"/>
      <c r="AJ38" s="614"/>
      <c r="AK38" s="614"/>
      <c r="AL38" s="614"/>
      <c r="AM38" s="614"/>
      <c r="AN38" s="615"/>
      <c r="AO38" s="335"/>
      <c r="AP38" s="146"/>
      <c r="AQ38" s="146"/>
      <c r="AR38" s="146"/>
      <c r="AS38" s="146"/>
      <c r="AT38" s="146"/>
      <c r="AU38" s="146"/>
      <c r="AV38" s="146"/>
      <c r="AW38" s="146"/>
      <c r="AX38" s="146"/>
      <c r="AY38" s="621"/>
      <c r="AZ38" s="146"/>
    </row>
    <row r="39" spans="2:52" x14ac:dyDescent="0.3">
      <c r="B39" s="2"/>
      <c r="C39" s="2"/>
      <c r="D39" s="168"/>
      <c r="F39" s="8"/>
      <c r="G39" s="625" t="str">
        <f>IF(AND(F40="Yes", P16&lt;2),"ERROR: PROVIDE NEIGHBORHOOD ASSETS INFORMATION FOR ALL PROJECTS SITES","")</f>
        <v/>
      </c>
      <c r="H39" s="625"/>
      <c r="I39" s="625"/>
      <c r="J39" s="625"/>
      <c r="K39" s="625"/>
      <c r="L39" s="625"/>
      <c r="M39" s="625"/>
      <c r="N39" s="625"/>
      <c r="AA39" s="50"/>
      <c r="AD39" s="168"/>
      <c r="AF39" s="8"/>
      <c r="AG39" s="625" t="str">
        <f>IF(AND(AF40="Yes", AP16&lt;2),"ERROR: PROVIDE NEIGHBORHOOD ASSETS INFORMATION FOR ALL PROJECTS SITES","")</f>
        <v/>
      </c>
      <c r="AH39" s="625"/>
      <c r="AI39" s="625"/>
      <c r="AJ39" s="625"/>
      <c r="AK39" s="625"/>
      <c r="AL39" s="625"/>
      <c r="AM39" s="625"/>
      <c r="AN39" s="625"/>
    </row>
    <row r="40" spans="2:52" x14ac:dyDescent="0.3">
      <c r="B40" s="2"/>
      <c r="C40" s="2"/>
      <c r="D40" s="8"/>
      <c r="E40" s="56" t="s">
        <v>567</v>
      </c>
      <c r="F40" s="364"/>
      <c r="G40" s="455"/>
      <c r="H40" s="455"/>
      <c r="I40" s="455"/>
      <c r="J40" s="455"/>
      <c r="K40" s="455"/>
      <c r="L40" s="455"/>
      <c r="M40" s="455"/>
      <c r="N40" s="455"/>
      <c r="AA40" s="50"/>
      <c r="AD40" s="8"/>
      <c r="AE40" s="56" t="s">
        <v>567</v>
      </c>
      <c r="AF40" s="381"/>
      <c r="AG40" s="455"/>
      <c r="AH40" s="455"/>
      <c r="AI40" s="455"/>
      <c r="AJ40" s="455"/>
      <c r="AK40" s="455"/>
      <c r="AL40" s="455"/>
      <c r="AM40" s="455"/>
      <c r="AN40" s="455"/>
    </row>
    <row r="41" spans="2:52" ht="16.2" thickBot="1" x14ac:dyDescent="0.35">
      <c r="D41" s="3"/>
      <c r="E41" s="3"/>
      <c r="F41" s="3"/>
      <c r="G41" s="626"/>
      <c r="H41" s="626"/>
      <c r="I41" s="626"/>
      <c r="J41" s="626"/>
      <c r="K41" s="626"/>
      <c r="L41" s="626"/>
      <c r="M41" s="626"/>
      <c r="N41" s="626"/>
      <c r="AA41" s="50"/>
      <c r="AD41" s="3"/>
      <c r="AE41" s="3"/>
      <c r="AF41" s="3"/>
      <c r="AG41" s="626"/>
      <c r="AH41" s="626"/>
      <c r="AI41" s="626"/>
      <c r="AJ41" s="626"/>
      <c r="AK41" s="626"/>
      <c r="AL41" s="626"/>
      <c r="AM41" s="626"/>
      <c r="AN41" s="626"/>
    </row>
    <row r="42" spans="2:52" x14ac:dyDescent="0.3">
      <c r="D42" s="601" t="str">
        <f>IF(
OR(
OR(F44=$P$4,F44=$P$5,F44=$P$6,F44=$P$7),AND(G46="",G47="",G48="",G49="",G50="",G51="",G52="",J46="",J47="",J48="",J49="",J50="",J51="",J52="",M46="",M47="",M48="",M49="",M50="",M51="",M52="",K43="",K44="")
),
"",
"A Set-Aside must be selected."
)</f>
        <v/>
      </c>
      <c r="E42" s="602"/>
      <c r="F42" s="602"/>
      <c r="G42" s="602"/>
      <c r="H42" s="602"/>
      <c r="I42" s="602"/>
      <c r="J42" s="602"/>
      <c r="K42" s="602"/>
      <c r="L42" s="602"/>
      <c r="M42" s="602"/>
      <c r="N42" s="603"/>
      <c r="O42" s="2"/>
      <c r="AA42" s="50"/>
      <c r="AD42" s="601" t="str">
        <f>IF(
OR(
OR(AF44=$P$4,AF44=$P$5,AF44=$P$6,AF44=$P$7),AND(AG46="",AG47="",AG48="",AG49="",AG50="",AG51="",AG52="",AJ46="",AJ47="",AJ48="",AJ49="",AJ50="",AJ51="",AJ52="",AM46="",AM47="",AM48="",AM49="",AM50="",AM51="",AM52="",AK43="",AK44="")
),
"",
"A Set-Aside must be selected."
)</f>
        <v/>
      </c>
      <c r="AE42" s="602"/>
      <c r="AF42" s="602"/>
      <c r="AG42" s="602"/>
      <c r="AH42" s="602"/>
      <c r="AI42" s="602"/>
      <c r="AJ42" s="602"/>
      <c r="AK42" s="602"/>
      <c r="AL42" s="602"/>
      <c r="AM42" s="602"/>
      <c r="AN42" s="603"/>
      <c r="AO42" s="2"/>
    </row>
    <row r="43" spans="2:52" ht="15" customHeight="1" x14ac:dyDescent="0.3">
      <c r="D43" s="199"/>
      <c r="E43" s="9" t="s">
        <v>30</v>
      </c>
      <c r="F43" s="86">
        <v>1</v>
      </c>
      <c r="G43" s="9" t="s">
        <v>175</v>
      </c>
      <c r="H43" s="9"/>
      <c r="I43" s="9"/>
      <c r="J43" s="168" t="s">
        <v>111</v>
      </c>
      <c r="K43" s="148"/>
      <c r="N43" s="200"/>
      <c r="R43" s="596" t="s">
        <v>302</v>
      </c>
      <c r="S43" s="596" t="s">
        <v>303</v>
      </c>
      <c r="T43" s="596" t="s">
        <v>304</v>
      </c>
      <c r="U43" s="596" t="s">
        <v>305</v>
      </c>
      <c r="V43" s="596" t="s">
        <v>306</v>
      </c>
      <c r="W43" s="596" t="s">
        <v>307</v>
      </c>
      <c r="X43" s="596" t="s">
        <v>308</v>
      </c>
      <c r="AA43" s="50"/>
      <c r="AD43" s="199"/>
      <c r="AE43" s="9" t="s">
        <v>30</v>
      </c>
      <c r="AF43" s="86">
        <v>1</v>
      </c>
      <c r="AG43" s="9" t="s">
        <v>175</v>
      </c>
      <c r="AH43" s="9"/>
      <c r="AI43" s="9"/>
      <c r="AJ43" s="168" t="s">
        <v>111</v>
      </c>
      <c r="AK43" s="382"/>
      <c r="AN43" s="200"/>
      <c r="AR43" s="596" t="s">
        <v>302</v>
      </c>
      <c r="AS43" s="596" t="s">
        <v>303</v>
      </c>
      <c r="AT43" s="596" t="s">
        <v>304</v>
      </c>
      <c r="AU43" s="596" t="s">
        <v>305</v>
      </c>
      <c r="AV43" s="596" t="s">
        <v>306</v>
      </c>
      <c r="AW43" s="596" t="s">
        <v>307</v>
      </c>
      <c r="AX43" s="596" t="s">
        <v>308</v>
      </c>
    </row>
    <row r="44" spans="2:52" ht="14.4" customHeight="1" x14ac:dyDescent="0.3">
      <c r="D44" s="604" t="s">
        <v>31</v>
      </c>
      <c r="E44" s="594"/>
      <c r="F44" s="151"/>
      <c r="G44" s="86" t="str">
        <f>IF(F44=$P$4,$Q$4,IF(F44=$P$5,$Q$5,IF(F44=$P$6,$Q$6,IF(F44=$P$7,$Q$7,IF(F44=$P$8,"","")))))</f>
        <v/>
      </c>
      <c r="H44" s="201"/>
      <c r="I44" s="201"/>
      <c r="J44" s="168" t="s">
        <v>112</v>
      </c>
      <c r="K44" s="148"/>
      <c r="N44" s="200"/>
      <c r="R44" s="596"/>
      <c r="S44" s="596"/>
      <c r="T44" s="596"/>
      <c r="U44" s="596"/>
      <c r="V44" s="596"/>
      <c r="W44" s="596"/>
      <c r="X44" s="596"/>
      <c r="AA44" s="50"/>
      <c r="AD44" s="604" t="s">
        <v>31</v>
      </c>
      <c r="AE44" s="594"/>
      <c r="AF44" s="383"/>
      <c r="AG44" s="86" t="str">
        <f>IF(AF44=$P$4,$Q$4,IF(AF44=$P$5,$Q$5,IF(AF44=$P$6,$Q$6,IF(AF44=$P$7,$Q$7,IF(AF44=$P$8,"","")))))</f>
        <v/>
      </c>
      <c r="AH44" s="201"/>
      <c r="AI44" s="201"/>
      <c r="AJ44" s="168" t="s">
        <v>112</v>
      </c>
      <c r="AK44" s="382"/>
      <c r="AN44" s="200"/>
      <c r="AR44" s="596"/>
      <c r="AS44" s="596"/>
      <c r="AT44" s="596"/>
      <c r="AU44" s="596"/>
      <c r="AV44" s="596"/>
      <c r="AW44" s="596"/>
      <c r="AX44" s="596"/>
    </row>
    <row r="45" spans="2:52" x14ac:dyDescent="0.3">
      <c r="D45" s="244"/>
      <c r="E45" s="230" t="s">
        <v>52</v>
      </c>
      <c r="F45" s="9" t="s">
        <v>32</v>
      </c>
      <c r="G45" s="9" t="s">
        <v>33</v>
      </c>
      <c r="H45" s="9"/>
      <c r="I45" s="9"/>
      <c r="J45" s="9" t="s">
        <v>34</v>
      </c>
      <c r="K45" s="9"/>
      <c r="L45" s="9"/>
      <c r="M45" s="257" t="s">
        <v>35</v>
      </c>
      <c r="N45" s="202"/>
      <c r="O45" s="9"/>
      <c r="P45" s="198" t="s">
        <v>22</v>
      </c>
      <c r="Q45" s="198"/>
      <c r="R45" s="596"/>
      <c r="S45" s="596"/>
      <c r="T45" s="596"/>
      <c r="U45" s="596"/>
      <c r="V45" s="596"/>
      <c r="W45" s="596"/>
      <c r="X45" s="596"/>
      <c r="AA45" s="50"/>
      <c r="AD45" s="244"/>
      <c r="AE45" s="230" t="s">
        <v>52</v>
      </c>
      <c r="AF45" s="9" t="s">
        <v>32</v>
      </c>
      <c r="AG45" s="9" t="s">
        <v>33</v>
      </c>
      <c r="AH45" s="9"/>
      <c r="AI45" s="9"/>
      <c r="AJ45" s="9" t="s">
        <v>34</v>
      </c>
      <c r="AK45" s="9"/>
      <c r="AL45" s="9"/>
      <c r="AM45" s="257" t="s">
        <v>35</v>
      </c>
      <c r="AN45" s="202"/>
      <c r="AO45" s="9"/>
      <c r="AP45" s="198" t="s">
        <v>22</v>
      </c>
      <c r="AQ45" s="198"/>
      <c r="AR45" s="596"/>
      <c r="AS45" s="596"/>
      <c r="AT45" s="596"/>
      <c r="AU45" s="596"/>
      <c r="AV45" s="596"/>
      <c r="AW45" s="596"/>
      <c r="AX45" s="596"/>
    </row>
    <row r="46" spans="2:52" ht="15" customHeight="1" x14ac:dyDescent="0.3">
      <c r="D46" s="244"/>
      <c r="E46" s="355" t="str">
        <f>IF(OR(M46="",M46=0,J46="",G46=""),"",
(IF(AND(F44=$P$4,M46&lt;=$R$4),$V$4,0)+IF(AND(F44=$P$5,M46&lt;=$R$5),$V$5,0)+IF(AND(F44=$P$6,M46&lt;=$R$6),$V$6,0)+IF(AND(F44=$P$7,M46&lt;=$R$7),$V$7,0))
)</f>
        <v/>
      </c>
      <c r="F46" s="153" t="s">
        <v>302</v>
      </c>
      <c r="G46" s="619"/>
      <c r="H46" s="617"/>
      <c r="I46" s="618"/>
      <c r="J46" s="616"/>
      <c r="K46" s="617"/>
      <c r="L46" s="618"/>
      <c r="M46" s="255"/>
      <c r="N46" s="256"/>
      <c r="O46" s="388"/>
      <c r="P46" s="185">
        <f>IF(F44="",0,1)</f>
        <v>0</v>
      </c>
      <c r="R46" s="185" t="str">
        <f>E46</f>
        <v/>
      </c>
      <c r="S46" s="185" t="str">
        <f>E47</f>
        <v/>
      </c>
      <c r="T46" s="185" t="str">
        <f>E48</f>
        <v/>
      </c>
      <c r="U46" s="185" t="str">
        <f>E49</f>
        <v/>
      </c>
      <c r="V46" s="185" t="str">
        <f>E50</f>
        <v/>
      </c>
      <c r="W46" s="185" t="str">
        <f>E51</f>
        <v/>
      </c>
      <c r="X46" s="185" t="str">
        <f>E52</f>
        <v/>
      </c>
      <c r="AA46" s="50"/>
      <c r="AD46" s="244"/>
      <c r="AE46" s="355" t="str">
        <f>IF(OR(AM46="",AM46=0,AJ46="",AG46=""),"",
(IF(AND(AF44=$P$4,AM46&lt;=$R$4),$V$4,0)+IF(AND(AF44=$P$5,AM46&lt;=$R$5),$V$5,0)+IF(AND(AF44=$P$6,AM46&lt;=$R$6),$V$6,0)+IF(AND(AF44=$P$7,AM46&lt;=$R$7),$V$7,0))
)</f>
        <v/>
      </c>
      <c r="AF46" s="153" t="s">
        <v>302</v>
      </c>
      <c r="AG46" s="598"/>
      <c r="AH46" s="599"/>
      <c r="AI46" s="600"/>
      <c r="AJ46" s="598"/>
      <c r="AK46" s="599"/>
      <c r="AL46" s="600"/>
      <c r="AM46" s="384"/>
      <c r="AN46" s="256"/>
      <c r="AO46" s="388"/>
      <c r="AP46" s="185">
        <f>IF(AF44="",0,1)</f>
        <v>0</v>
      </c>
      <c r="AR46" s="185" t="str">
        <f>AE46</f>
        <v/>
      </c>
      <c r="AS46" s="185" t="str">
        <f>AE47</f>
        <v/>
      </c>
      <c r="AT46" s="185" t="str">
        <f>AE48</f>
        <v/>
      </c>
      <c r="AU46" s="185" t="str">
        <f>AE49</f>
        <v/>
      </c>
      <c r="AV46" s="185" t="str">
        <f>AE50</f>
        <v/>
      </c>
      <c r="AW46" s="185" t="str">
        <f>AE51</f>
        <v/>
      </c>
      <c r="AX46" s="185" t="str">
        <f>AE52</f>
        <v/>
      </c>
    </row>
    <row r="47" spans="2:52" ht="15" customHeight="1" x14ac:dyDescent="0.3">
      <c r="D47" s="244"/>
      <c r="E47" s="341" t="str">
        <f>IF(OR(M47="",M47=0,J47="",G47=""),"",
(IF(AND(F44=$P$4,M47&lt;=$R$4),$V$4,0)+IF(AND(F44=$P$5,M47&lt;=$R$5),$V$5,0)+IF(AND(F44=$P$6,M47&lt;=$R$6),$V$6,0)+IF(AND(F44=$P$7,M47&lt;=$R$7),$V$7,0))
)</f>
        <v/>
      </c>
      <c r="F47" s="153" t="s">
        <v>303</v>
      </c>
      <c r="G47" s="619"/>
      <c r="H47" s="617"/>
      <c r="I47" s="618"/>
      <c r="J47" s="616"/>
      <c r="K47" s="617"/>
      <c r="L47" s="618"/>
      <c r="M47" s="255"/>
      <c r="N47" s="256"/>
      <c r="O47" s="388"/>
      <c r="AA47" s="50"/>
      <c r="AD47" s="244"/>
      <c r="AE47" s="341" t="str">
        <f>IF(OR(AM47="",AM47=0,AJ47="",AG47=""),"",
(IF(AND(AF44=$P$4,AM47&lt;=$R$4),$V$4,0)+IF(AND(AF44=$P$5,AM47&lt;=$R$5),$V$5,0)+IF(AND(AF44=$P$6,AM47&lt;=$R$6),$V$6,0)+IF(AND(AF44=$P$7,AM47&lt;=$R$7),$V$7,0))
)</f>
        <v/>
      </c>
      <c r="AF47" s="153" t="s">
        <v>303</v>
      </c>
      <c r="AG47" s="598"/>
      <c r="AH47" s="599"/>
      <c r="AI47" s="600"/>
      <c r="AJ47" s="598"/>
      <c r="AK47" s="599"/>
      <c r="AL47" s="600"/>
      <c r="AM47" s="384"/>
      <c r="AN47" s="256"/>
      <c r="AO47" s="388"/>
    </row>
    <row r="48" spans="2:52" ht="15" customHeight="1" x14ac:dyDescent="0.3">
      <c r="D48" s="244"/>
      <c r="E48" s="341" t="str">
        <f>IF(OR(M48="",M48=0,J48="",G48=""),"",
(IF(AND(F44=$P$4,M48&lt;=$R$4),$V$4,0)+IF(AND(F44=$P$5,M48&lt;=$R$5),$V$5,0)+IF(AND(F44=$P$6,M48&lt;=$R$6),$V$6,0)+IF(AND(F44=$P$7,M48&lt;=$R$7),$V$7,0))
)</f>
        <v/>
      </c>
      <c r="F48" s="153" t="s">
        <v>304</v>
      </c>
      <c r="G48" s="619"/>
      <c r="H48" s="617"/>
      <c r="I48" s="618"/>
      <c r="J48" s="616"/>
      <c r="K48" s="617"/>
      <c r="L48" s="618"/>
      <c r="M48" s="255"/>
      <c r="N48" s="256"/>
      <c r="O48" s="388"/>
      <c r="AA48" s="50"/>
      <c r="AD48" s="244"/>
      <c r="AE48" s="341" t="str">
        <f>IF(OR(AM48="",AM48=0,AJ48="",AG48=""),"",
(IF(AND(AF44=$P$4,AM48&lt;=$R$4),$V$4,0)+IF(AND(AF44=$P$5,AM48&lt;=$R$5),$V$5,0)+IF(AND(AF44=$P$6,AM48&lt;=$R$6),$V$6,0)+IF(AND(AF44=$P$7,AM48&lt;=$R$7),$V$7,0))
)</f>
        <v/>
      </c>
      <c r="AF48" s="153" t="s">
        <v>304</v>
      </c>
      <c r="AG48" s="598"/>
      <c r="AH48" s="599"/>
      <c r="AI48" s="600"/>
      <c r="AJ48" s="598"/>
      <c r="AK48" s="599"/>
      <c r="AL48" s="600"/>
      <c r="AM48" s="384"/>
      <c r="AN48" s="256"/>
      <c r="AO48" s="388"/>
    </row>
    <row r="49" spans="4:50" ht="15" customHeight="1" x14ac:dyDescent="0.3">
      <c r="D49" s="244"/>
      <c r="E49" s="341" t="str">
        <f>IF(OR(M49="",M49=0,J49="",G49=""),"",
(IF(AND(F44=$P$4,M49&lt;=$R$4),$V$4,0)+IF(AND(F44=$P$5,M49&lt;=$R$5),$V$5,0)+IF(AND(F44=$P$6,M49&lt;=$R$6),$V$6,0)+IF(AND(F44=$P$7,M49&lt;=$R$7),$V$7,0))
)</f>
        <v/>
      </c>
      <c r="F49" s="153" t="s">
        <v>305</v>
      </c>
      <c r="G49" s="619"/>
      <c r="H49" s="617"/>
      <c r="I49" s="618"/>
      <c r="J49" s="616"/>
      <c r="K49" s="617"/>
      <c r="L49" s="618"/>
      <c r="M49" s="255"/>
      <c r="N49" s="256"/>
      <c r="O49" s="388"/>
      <c r="AA49" s="50"/>
      <c r="AD49" s="244"/>
      <c r="AE49" s="341" t="str">
        <f>IF(OR(AM49="",AM49=0,AJ49="",AG49=""),"",
(IF(AND(AF44=$P$4,AM49&lt;=$R$4),$V$4,0)+IF(AND(AF44=$P$5,AM49&lt;=$R$5),$V$5,0)+IF(AND(AF44=$P$6,AM49&lt;=$R$6),$V$6,0)+IF(AND(AF44=$P$7,AM49&lt;=$R$7),$V$7,0))
)</f>
        <v/>
      </c>
      <c r="AF49" s="153" t="s">
        <v>305</v>
      </c>
      <c r="AG49" s="598"/>
      <c r="AH49" s="599"/>
      <c r="AI49" s="600"/>
      <c r="AJ49" s="598"/>
      <c r="AK49" s="599"/>
      <c r="AL49" s="600"/>
      <c r="AM49" s="384"/>
      <c r="AN49" s="256"/>
      <c r="AO49" s="388"/>
    </row>
    <row r="50" spans="4:50" ht="15" customHeight="1" x14ac:dyDescent="0.3">
      <c r="D50" s="244"/>
      <c r="E50" s="341" t="str">
        <f>IF(OR(M50="",M50=0,J50="",G50=""),"",
(IF(AND(F44=$P$4,M50&lt;=$R$4),$V$4,0)+IF(AND(F44=$P$5,M50&lt;=$R$5),$V$5,0)+IF(AND(F44=$P$6,M50&lt;=$R$6),$V$6,0)+IF(AND(F44=$P$7,M50&lt;=$R$7),$V$7,0))
)</f>
        <v/>
      </c>
      <c r="F50" s="153" t="s">
        <v>306</v>
      </c>
      <c r="G50" s="619"/>
      <c r="H50" s="617"/>
      <c r="I50" s="618"/>
      <c r="J50" s="616"/>
      <c r="K50" s="617"/>
      <c r="L50" s="618"/>
      <c r="M50" s="255"/>
      <c r="N50" s="256"/>
      <c r="O50" s="388"/>
      <c r="AA50" s="50"/>
      <c r="AD50" s="244"/>
      <c r="AE50" s="341" t="str">
        <f>IF(OR(AM50="",AM50=0,AJ50="",AG50=""),"",
(IF(AND(AF44=$P$4,AM50&lt;=$R$4),$V$4,0)+IF(AND(AF44=$P$5,AM50&lt;=$R$5),$V$5,0)+IF(AND(AF44=$P$6,AM50&lt;=$R$6),$V$6,0)+IF(AND(AF44=$P$7,AM50&lt;=$R$7),$V$7,0))
)</f>
        <v/>
      </c>
      <c r="AF50" s="153" t="s">
        <v>306</v>
      </c>
      <c r="AG50" s="598"/>
      <c r="AH50" s="599"/>
      <c r="AI50" s="600"/>
      <c r="AJ50" s="598"/>
      <c r="AK50" s="599"/>
      <c r="AL50" s="600"/>
      <c r="AM50" s="384"/>
      <c r="AN50" s="256"/>
      <c r="AO50" s="388"/>
    </row>
    <row r="51" spans="4:50" ht="15" customHeight="1" x14ac:dyDescent="0.3">
      <c r="D51" s="244"/>
      <c r="E51" s="341" t="str">
        <f>IF(OR(M51="",M51=0,J51="",G51=""),"",
(IF(AND(F44=$P$4,M51&lt;=$R$4),$V$4,0)+IF(AND(F44=$P$5,M51&lt;=$R$5),$V$5,0)+IF(AND(F44=$P$6,M51&lt;=$R$6),$V$6,0)+IF(AND(F44=$P$7,M51&lt;=$R$7),$V$7,0))
)</f>
        <v/>
      </c>
      <c r="F51" s="153" t="s">
        <v>307</v>
      </c>
      <c r="G51" s="619"/>
      <c r="H51" s="617"/>
      <c r="I51" s="618"/>
      <c r="J51" s="616"/>
      <c r="K51" s="617"/>
      <c r="L51" s="618"/>
      <c r="M51" s="255"/>
      <c r="N51" s="256"/>
      <c r="O51" s="388"/>
      <c r="AA51" s="50"/>
      <c r="AD51" s="244"/>
      <c r="AE51" s="341" t="str">
        <f>IF(OR(AM51="",AM51=0,AJ51="",AG51=""),"",
(IF(AND(AF44=$P$4,AM51&lt;=$R$4),$V$4,0)+IF(AND(AF44=$P$5,AM51&lt;=$R$5),$V$5,0)+IF(AND(AF44=$P$6,AM51&lt;=$R$6),$V$6,0)+IF(AND(AF44=$P$7,AM51&lt;=$R$7),$V$7,0))
)</f>
        <v/>
      </c>
      <c r="AF51" s="153" t="s">
        <v>307</v>
      </c>
      <c r="AG51" s="598"/>
      <c r="AH51" s="599"/>
      <c r="AI51" s="600"/>
      <c r="AJ51" s="598"/>
      <c r="AK51" s="599"/>
      <c r="AL51" s="600"/>
      <c r="AM51" s="384"/>
      <c r="AN51" s="256"/>
      <c r="AO51" s="388"/>
    </row>
    <row r="52" spans="4:50" ht="15" customHeight="1" x14ac:dyDescent="0.3">
      <c r="D52" s="244"/>
      <c r="E52" s="341" t="str">
        <f>IF(OR(M52="",M52=0,J52="",G52=""),"",
(IF(AND(F44=$P$4,M52&lt;=$R$4),$V$4,0)+IF(AND(F44=$P$5,M52&lt;=$R$5),$V$5,0)+IF(AND(F44=$P$6,M52&lt;=$R$6),$V$6,0)+IF(AND(F44=$P$7,M52&lt;=$R$7),$V$7,0))
)</f>
        <v/>
      </c>
      <c r="F52" s="153" t="s">
        <v>308</v>
      </c>
      <c r="G52" s="619"/>
      <c r="H52" s="617"/>
      <c r="I52" s="618"/>
      <c r="J52" s="616"/>
      <c r="K52" s="617"/>
      <c r="L52" s="618"/>
      <c r="M52" s="255"/>
      <c r="N52" s="256"/>
      <c r="O52" s="388"/>
      <c r="AA52" s="50"/>
      <c r="AD52" s="244"/>
      <c r="AE52" s="341" t="str">
        <f>IF(OR(AM52="",AM52=0,AJ52="",AG52=""),"",
(IF(AND(AF44=$P$4,AM52&lt;=$R$4),$V$4,0)+IF(AND(AF44=$P$5,AM52&lt;=$R$5),$V$5,0)+IF(AND(AF44=$P$6,AM52&lt;=$R$6),$V$6,0)+IF(AND(AF44=$P$7,AM52&lt;=$R$7),$V$7,0))
)</f>
        <v/>
      </c>
      <c r="AF52" s="153" t="s">
        <v>308</v>
      </c>
      <c r="AG52" s="598"/>
      <c r="AH52" s="599"/>
      <c r="AI52" s="600"/>
      <c r="AJ52" s="598"/>
      <c r="AK52" s="599"/>
      <c r="AL52" s="600"/>
      <c r="AM52" s="384"/>
      <c r="AN52" s="256"/>
      <c r="AO52" s="388"/>
    </row>
    <row r="53" spans="4:50" ht="16.2" thickBot="1" x14ac:dyDescent="0.35">
      <c r="D53" s="203"/>
      <c r="E53" s="3"/>
      <c r="F53" s="3"/>
      <c r="G53" s="3"/>
      <c r="H53" s="3"/>
      <c r="I53" s="3"/>
      <c r="J53" s="3"/>
      <c r="K53" s="3"/>
      <c r="L53" s="3"/>
      <c r="M53" s="3"/>
      <c r="N53" s="204"/>
      <c r="P53" s="2"/>
      <c r="AA53" s="50"/>
      <c r="AD53" s="203"/>
      <c r="AE53" s="3"/>
      <c r="AF53" s="3"/>
      <c r="AG53" s="3"/>
      <c r="AH53" s="3"/>
      <c r="AI53" s="3"/>
      <c r="AJ53" s="3"/>
      <c r="AK53" s="3"/>
      <c r="AL53" s="3"/>
      <c r="AM53" s="3"/>
      <c r="AN53" s="204"/>
      <c r="AP53" s="2"/>
    </row>
    <row r="54" spans="4:50" x14ac:dyDescent="0.3">
      <c r="D54" s="601" t="str">
        <f>IF(
OR(
OR(F56=$P$4,F56=$P$5,F56=$P$6,F56=$P$7),AND(G58="",G59="",G60="",G61="",G62="",G63="",G64="",J58="",J59="",J60="",J61="",J62="",J63="",J64="",M58="",M59="",M60="",M61="",M62="",M63="",M64="",K55="",K56="")
),
"",
"A Set-Aside must be selected."
)</f>
        <v/>
      </c>
      <c r="E54" s="602"/>
      <c r="F54" s="602"/>
      <c r="G54" s="602"/>
      <c r="H54" s="602"/>
      <c r="I54" s="602"/>
      <c r="J54" s="602"/>
      <c r="K54" s="602"/>
      <c r="L54" s="602"/>
      <c r="M54" s="602"/>
      <c r="N54" s="603"/>
      <c r="O54" s="2"/>
      <c r="AA54" s="50"/>
      <c r="AD54" s="601" t="str">
        <f>IF(
OR(
OR(AF56=$P$4,AF56=$P$5,AF56=$P$6,AF56=$P$7),AND(AG58="",AG59="",AG60="",AG61="",AG62="",AG63="",AG64="",AJ58="",AJ59="",AJ60="",AJ61="",AJ62="",AJ63="",AJ64="",AM58="",AM59="",AM60="",AM61="",AM62="",AM63="",AM64="",AK55="",AK56="")
),
"",
"A Set-Aside must be selected."
)</f>
        <v/>
      </c>
      <c r="AE54" s="602"/>
      <c r="AF54" s="602"/>
      <c r="AG54" s="602"/>
      <c r="AH54" s="602"/>
      <c r="AI54" s="602"/>
      <c r="AJ54" s="602"/>
      <c r="AK54" s="602"/>
      <c r="AL54" s="602"/>
      <c r="AM54" s="602"/>
      <c r="AN54" s="603"/>
      <c r="AO54" s="2"/>
    </row>
    <row r="55" spans="4:50" ht="15.75" customHeight="1" x14ac:dyDescent="0.3">
      <c r="D55" s="199"/>
      <c r="E55" s="9" t="s">
        <v>30</v>
      </c>
      <c r="F55" s="86">
        <f>F43+1</f>
        <v>2</v>
      </c>
      <c r="G55" s="9" t="s">
        <v>175</v>
      </c>
      <c r="H55" s="9"/>
      <c r="I55" s="9"/>
      <c r="J55" s="168" t="s">
        <v>111</v>
      </c>
      <c r="K55" s="148"/>
      <c r="N55" s="200"/>
      <c r="R55" s="596" t="s">
        <v>302</v>
      </c>
      <c r="S55" s="596" t="s">
        <v>303</v>
      </c>
      <c r="T55" s="596" t="s">
        <v>304</v>
      </c>
      <c r="U55" s="596" t="s">
        <v>305</v>
      </c>
      <c r="V55" s="596" t="s">
        <v>306</v>
      </c>
      <c r="W55" s="596" t="s">
        <v>307</v>
      </c>
      <c r="X55" s="596" t="s">
        <v>308</v>
      </c>
      <c r="AA55" s="50"/>
      <c r="AD55" s="199"/>
      <c r="AE55" s="9" t="s">
        <v>30</v>
      </c>
      <c r="AF55" s="86">
        <f>AF43+1</f>
        <v>2</v>
      </c>
      <c r="AG55" s="9" t="s">
        <v>175</v>
      </c>
      <c r="AH55" s="9"/>
      <c r="AI55" s="9"/>
      <c r="AJ55" s="168" t="s">
        <v>111</v>
      </c>
      <c r="AK55" s="382"/>
      <c r="AN55" s="200"/>
      <c r="AR55" s="596" t="s">
        <v>302</v>
      </c>
      <c r="AS55" s="596" t="s">
        <v>303</v>
      </c>
      <c r="AT55" s="596" t="s">
        <v>304</v>
      </c>
      <c r="AU55" s="596" t="s">
        <v>305</v>
      </c>
      <c r="AV55" s="596" t="s">
        <v>306</v>
      </c>
      <c r="AW55" s="596" t="s">
        <v>307</v>
      </c>
      <c r="AX55" s="596" t="s">
        <v>308</v>
      </c>
    </row>
    <row r="56" spans="4:50" x14ac:dyDescent="0.3">
      <c r="D56" s="604" t="s">
        <v>31</v>
      </c>
      <c r="E56" s="594"/>
      <c r="F56" s="151"/>
      <c r="G56" s="86" t="str">
        <f>IF(F56=$P$4,$Q$4,IF(F56=$P$5,$Q$5,IF(F56=$P$6,$Q$6,IF(F56=$P$7,Q$7,IF(F56=$P$8,"","")))))</f>
        <v/>
      </c>
      <c r="H56" s="201"/>
      <c r="I56" s="201"/>
      <c r="J56" s="168" t="s">
        <v>112</v>
      </c>
      <c r="K56" s="148"/>
      <c r="N56" s="200"/>
      <c r="R56" s="596"/>
      <c r="S56" s="596"/>
      <c r="T56" s="596"/>
      <c r="U56" s="596"/>
      <c r="V56" s="596"/>
      <c r="W56" s="596"/>
      <c r="X56" s="596"/>
      <c r="AA56" s="50"/>
      <c r="AD56" s="604" t="s">
        <v>31</v>
      </c>
      <c r="AE56" s="594"/>
      <c r="AF56" s="383"/>
      <c r="AG56" s="86" t="str">
        <f>IF(AF56=$P$4,$Q$4,IF(AF56=$P$5,$Q$5,IF(AF56=$P$6,$Q$6,IF(AF56=$P$7,AQ$7,IF(AF56=$P$8,"","")))))</f>
        <v/>
      </c>
      <c r="AH56" s="201"/>
      <c r="AI56" s="201"/>
      <c r="AJ56" s="168" t="s">
        <v>112</v>
      </c>
      <c r="AK56" s="382"/>
      <c r="AN56" s="200"/>
      <c r="AR56" s="596"/>
      <c r="AS56" s="596"/>
      <c r="AT56" s="596"/>
      <c r="AU56" s="596"/>
      <c r="AV56" s="596"/>
      <c r="AW56" s="596"/>
      <c r="AX56" s="596"/>
    </row>
    <row r="57" spans="4:50" x14ac:dyDescent="0.3">
      <c r="D57" s="244"/>
      <c r="E57" s="230" t="s">
        <v>52</v>
      </c>
      <c r="F57" s="9" t="s">
        <v>32</v>
      </c>
      <c r="G57" s="9" t="s">
        <v>33</v>
      </c>
      <c r="H57" s="9"/>
      <c r="I57" s="9"/>
      <c r="J57" s="9" t="s">
        <v>34</v>
      </c>
      <c r="K57" s="9"/>
      <c r="L57" s="9"/>
      <c r="M57" s="257" t="s">
        <v>35</v>
      </c>
      <c r="N57" s="202"/>
      <c r="O57" s="9"/>
      <c r="P57" s="198" t="s">
        <v>22</v>
      </c>
      <c r="Q57" s="198"/>
      <c r="R57" s="596"/>
      <c r="S57" s="596"/>
      <c r="T57" s="596"/>
      <c r="U57" s="596"/>
      <c r="V57" s="596"/>
      <c r="W57" s="596"/>
      <c r="X57" s="596"/>
      <c r="AA57" s="50"/>
      <c r="AD57" s="244"/>
      <c r="AE57" s="230" t="s">
        <v>52</v>
      </c>
      <c r="AF57" s="9" t="s">
        <v>32</v>
      </c>
      <c r="AG57" s="9" t="s">
        <v>33</v>
      </c>
      <c r="AH57" s="9"/>
      <c r="AI57" s="9"/>
      <c r="AJ57" s="9" t="s">
        <v>34</v>
      </c>
      <c r="AK57" s="9"/>
      <c r="AL57" s="9"/>
      <c r="AM57" s="257" t="s">
        <v>35</v>
      </c>
      <c r="AN57" s="202"/>
      <c r="AO57" s="9"/>
      <c r="AP57" s="198" t="s">
        <v>22</v>
      </c>
      <c r="AQ57" s="198"/>
      <c r="AR57" s="596"/>
      <c r="AS57" s="596"/>
      <c r="AT57" s="596"/>
      <c r="AU57" s="596"/>
      <c r="AV57" s="596"/>
      <c r="AW57" s="596"/>
      <c r="AX57" s="596"/>
    </row>
    <row r="58" spans="4:50" ht="15" customHeight="1" x14ac:dyDescent="0.3">
      <c r="D58" s="244"/>
      <c r="E58" s="355" t="str">
        <f>IF(OR(M58="",M58=0,J58="",G58=""),"",
(IF(AND(F56=$P$4,M58&lt;=$R$4),$V$4,0)+IF(AND(F56=$P$5,M58&lt;=$R$5),$V$5,0)+IF(AND(F56=$P$6,M58&lt;=$R$6),$V$6,0)+IF(AND(F56=$P$7,M58&lt;=$R$7),$V$7,0))
)</f>
        <v/>
      </c>
      <c r="F58" s="153" t="s">
        <v>302</v>
      </c>
      <c r="G58" s="619"/>
      <c r="H58" s="617"/>
      <c r="I58" s="618"/>
      <c r="J58" s="616"/>
      <c r="K58" s="617"/>
      <c r="L58" s="618"/>
      <c r="M58" s="255"/>
      <c r="N58" s="256"/>
      <c r="O58" s="388"/>
      <c r="P58" s="185">
        <f>IF(F56="",0,1)</f>
        <v>0</v>
      </c>
      <c r="R58" s="185" t="str">
        <f>E58</f>
        <v/>
      </c>
      <c r="S58" s="185" t="str">
        <f t="shared" ref="S58" si="18">E59</f>
        <v/>
      </c>
      <c r="T58" s="185" t="str">
        <f t="shared" ref="T58" si="19">E60</f>
        <v/>
      </c>
      <c r="U58" s="185" t="str">
        <f t="shared" ref="U58" si="20">E61</f>
        <v/>
      </c>
      <c r="V58" s="185" t="str">
        <f t="shared" ref="V58" si="21">E62</f>
        <v/>
      </c>
      <c r="W58" s="185" t="str">
        <f t="shared" ref="W58" si="22">E63</f>
        <v/>
      </c>
      <c r="X58" s="185" t="str">
        <f t="shared" ref="X58" si="23">E64</f>
        <v/>
      </c>
      <c r="AA58" s="50"/>
      <c r="AD58" s="244"/>
      <c r="AE58" s="355" t="str">
        <f>IF(OR(AM58="",AM58=0,AJ58="",AG58=""),"",
(IF(AND(AF56=$P$4,AM58&lt;=$R$4),$V$4,0)+IF(AND(AF56=$P$5,AM58&lt;=$R$5),$V$5,0)+IF(AND(AF56=$P$6,AM58&lt;=$R$6),$V$6,0)+IF(AND(AF56=$P$7,AM58&lt;=$R$7),$V$7,0))
)</f>
        <v/>
      </c>
      <c r="AF58" s="153" t="s">
        <v>302</v>
      </c>
      <c r="AG58" s="598"/>
      <c r="AH58" s="599"/>
      <c r="AI58" s="600"/>
      <c r="AJ58" s="598"/>
      <c r="AK58" s="599"/>
      <c r="AL58" s="600"/>
      <c r="AM58" s="384"/>
      <c r="AN58" s="256"/>
      <c r="AO58" s="388"/>
      <c r="AP58" s="185">
        <f t="shared" ref="AP58" si="24">IF(AF56="",0,1)</f>
        <v>0</v>
      </c>
      <c r="AR58" s="185" t="str">
        <f>AE58</f>
        <v/>
      </c>
      <c r="AS58" s="185" t="str">
        <f t="shared" ref="AS58" si="25">AE59</f>
        <v/>
      </c>
      <c r="AT58" s="185" t="str">
        <f t="shared" ref="AT58" si="26">AE60</f>
        <v/>
      </c>
      <c r="AU58" s="185" t="str">
        <f t="shared" ref="AU58" si="27">AE61</f>
        <v/>
      </c>
      <c r="AV58" s="185" t="str">
        <f t="shared" ref="AV58" si="28">AE62</f>
        <v/>
      </c>
      <c r="AW58" s="185" t="str">
        <f t="shared" ref="AW58" si="29">AE63</f>
        <v/>
      </c>
      <c r="AX58" s="185" t="str">
        <f t="shared" ref="AX58" si="30">AE64</f>
        <v/>
      </c>
    </row>
    <row r="59" spans="4:50" ht="15" customHeight="1" x14ac:dyDescent="0.3">
      <c r="D59" s="244"/>
      <c r="E59" s="341" t="str">
        <f>IF(OR(M59="",M59=0,J59="",G59=""),"",
(IF(AND(F56=$P$4,M59&lt;=$R$4),$V$4,0)+IF(AND(F56=$P$5,M59&lt;=$R$5),$V$5,0)+IF(AND(F56=$P$6,M59&lt;=$R$6),$V$6,0)+IF(AND(F56=$P$7,M59&lt;=$R$7),$V$7,0))
)</f>
        <v/>
      </c>
      <c r="F59" s="153" t="s">
        <v>303</v>
      </c>
      <c r="G59" s="619"/>
      <c r="H59" s="617"/>
      <c r="I59" s="618"/>
      <c r="J59" s="616"/>
      <c r="K59" s="617"/>
      <c r="L59" s="618"/>
      <c r="M59" s="255"/>
      <c r="N59" s="256"/>
      <c r="O59" s="388"/>
      <c r="AA59" s="50"/>
      <c r="AD59" s="244"/>
      <c r="AE59" s="341" t="str">
        <f>IF(OR(AM59="",AM59=0,AJ59="",AG59=""),"",
(IF(AND(AF56=$P$4,AM59&lt;=$R$4),$V$4,0)+IF(AND(AF56=$P$5,AM59&lt;=$R$5),$V$5,0)+IF(AND(AF56=$P$6,AM59&lt;=$R$6),$V$6,0)+IF(AND(AF56=$P$7,AM59&lt;=$R$7),$V$7,0))
)</f>
        <v/>
      </c>
      <c r="AF59" s="153" t="s">
        <v>303</v>
      </c>
      <c r="AG59" s="598"/>
      <c r="AH59" s="599"/>
      <c r="AI59" s="600"/>
      <c r="AJ59" s="598"/>
      <c r="AK59" s="599"/>
      <c r="AL59" s="600"/>
      <c r="AM59" s="384"/>
      <c r="AN59" s="256"/>
      <c r="AO59" s="388"/>
    </row>
    <row r="60" spans="4:50" ht="15" customHeight="1" x14ac:dyDescent="0.3">
      <c r="D60" s="244"/>
      <c r="E60" s="341" t="str">
        <f>IF(OR(M60="",M60=0,J60="",G60=""),"",
(IF(AND(F56=$P$4,M60&lt;=$R$4),$V$4,0)+IF(AND(F56=$P$5,M60&lt;=$R$5),$V$5,0)+IF(AND(F56=$P$6,M60&lt;=$R$6),$V$6,0)+IF(AND(F56=$P$7,M60&lt;=$R$7),$V$7,0))
)</f>
        <v/>
      </c>
      <c r="F60" s="153" t="s">
        <v>304</v>
      </c>
      <c r="G60" s="619"/>
      <c r="H60" s="617"/>
      <c r="I60" s="618"/>
      <c r="J60" s="616"/>
      <c r="K60" s="617"/>
      <c r="L60" s="618"/>
      <c r="M60" s="255"/>
      <c r="N60" s="256"/>
      <c r="O60" s="388"/>
      <c r="AA60" s="50"/>
      <c r="AD60" s="244"/>
      <c r="AE60" s="341" t="str">
        <f>IF(OR(AM60="",AM60=0,AJ60="",AG60=""),"",
(IF(AND(AF56=$P$4,AM60&lt;=$R$4),$V$4,0)+IF(AND(AF56=$P$5,AM60&lt;=$R$5),$V$5,0)+IF(AND(AF56=$P$6,AM60&lt;=$R$6),$V$6,0)+IF(AND(AF56=$P$7,AM60&lt;=$R$7),$V$7,0))
)</f>
        <v/>
      </c>
      <c r="AF60" s="153" t="s">
        <v>304</v>
      </c>
      <c r="AG60" s="598"/>
      <c r="AH60" s="599"/>
      <c r="AI60" s="600"/>
      <c r="AJ60" s="598"/>
      <c r="AK60" s="599"/>
      <c r="AL60" s="600"/>
      <c r="AM60" s="384"/>
      <c r="AN60" s="256"/>
      <c r="AO60" s="388"/>
    </row>
    <row r="61" spans="4:50" ht="15" customHeight="1" x14ac:dyDescent="0.3">
      <c r="D61" s="244"/>
      <c r="E61" s="341" t="str">
        <f>IF(OR(M61="",M61=0,J61="",G61=""),"",
(IF(AND(F56=$P$4,M61&lt;=$R$4),$V$4,0)+IF(AND(F56=$P$5,M61&lt;=$R$5),$V$5,0)+IF(AND(F56=$P$6,M61&lt;=$R$6),$V$6,0)+IF(AND(F56=$P$7,M61&lt;=$R$7),$V$7,0))
)</f>
        <v/>
      </c>
      <c r="F61" s="153" t="s">
        <v>305</v>
      </c>
      <c r="G61" s="619"/>
      <c r="H61" s="617"/>
      <c r="I61" s="618"/>
      <c r="J61" s="616"/>
      <c r="K61" s="617"/>
      <c r="L61" s="618"/>
      <c r="M61" s="255"/>
      <c r="N61" s="256"/>
      <c r="O61" s="388"/>
      <c r="AA61" s="50"/>
      <c r="AD61" s="244"/>
      <c r="AE61" s="341" t="str">
        <f>IF(OR(AM61="",AM61=0,AJ61="",AG61=""),"",
(IF(AND(AF56=$P$4,AM61&lt;=$R$4),$V$4,0)+IF(AND(AF56=$P$5,AM61&lt;=$R$5),$V$5,0)+IF(AND(AF56=$P$6,AM61&lt;=$R$6),$V$6,0)+IF(AND(AF56=$P$7,AM61&lt;=$R$7),$V$7,0))
)</f>
        <v/>
      </c>
      <c r="AF61" s="153" t="s">
        <v>305</v>
      </c>
      <c r="AG61" s="598"/>
      <c r="AH61" s="599"/>
      <c r="AI61" s="600"/>
      <c r="AJ61" s="598"/>
      <c r="AK61" s="599"/>
      <c r="AL61" s="600"/>
      <c r="AM61" s="384"/>
      <c r="AN61" s="256"/>
      <c r="AO61" s="388"/>
    </row>
    <row r="62" spans="4:50" ht="15" customHeight="1" x14ac:dyDescent="0.3">
      <c r="D62" s="244"/>
      <c r="E62" s="341" t="str">
        <f>IF(OR(M62="",M62=0,J62="",G62=""),"",
(IF(AND(F56=$P$4,M62&lt;=$R$4),$V$4,0)+IF(AND(F56=$P$5,M62&lt;=$R$5),$V$5,0)+IF(AND(F56=$P$6,M62&lt;=$R$6),$V$6,0)+IF(AND(F56=$P$7,M62&lt;=$R$7),$V$7,0))
)</f>
        <v/>
      </c>
      <c r="F62" s="153" t="s">
        <v>306</v>
      </c>
      <c r="G62" s="619"/>
      <c r="H62" s="617"/>
      <c r="I62" s="618"/>
      <c r="J62" s="616"/>
      <c r="K62" s="617"/>
      <c r="L62" s="618"/>
      <c r="M62" s="255"/>
      <c r="N62" s="256"/>
      <c r="O62" s="388"/>
      <c r="AA62" s="50"/>
      <c r="AD62" s="244"/>
      <c r="AE62" s="341" t="str">
        <f>IF(OR(AM62="",AM62=0,AJ62="",AG62=""),"",
(IF(AND(AF56=$P$4,AM62&lt;=$R$4),$V$4,0)+IF(AND(AF56=$P$5,AM62&lt;=$R$5),$V$5,0)+IF(AND(AF56=$P$6,AM62&lt;=$R$6),$V$6,0)+IF(AND(AF56=$P$7,AM62&lt;=$R$7),$V$7,0))
)</f>
        <v/>
      </c>
      <c r="AF62" s="153" t="s">
        <v>306</v>
      </c>
      <c r="AG62" s="598"/>
      <c r="AH62" s="599"/>
      <c r="AI62" s="600"/>
      <c r="AJ62" s="598"/>
      <c r="AK62" s="599"/>
      <c r="AL62" s="600"/>
      <c r="AM62" s="384"/>
      <c r="AN62" s="256"/>
      <c r="AO62" s="388"/>
    </row>
    <row r="63" spans="4:50" ht="15" customHeight="1" x14ac:dyDescent="0.3">
      <c r="D63" s="244"/>
      <c r="E63" s="341" t="str">
        <f>IF(OR(M63="",M63=0,J63="",G63=""),"",
(IF(AND(F56=$P$4,M63&lt;=$R$4),$V$4,0)+IF(AND(F56=$P$5,M63&lt;=$R$5),$V$5,0)+IF(AND(F56=$P$6,M63&lt;=$R$6),$V$6,0)+IF(AND(F56=$P$7,M63&lt;=$R$7),$V$7,0))
)</f>
        <v/>
      </c>
      <c r="F63" s="153" t="s">
        <v>307</v>
      </c>
      <c r="G63" s="619"/>
      <c r="H63" s="617"/>
      <c r="I63" s="618"/>
      <c r="J63" s="616"/>
      <c r="K63" s="617"/>
      <c r="L63" s="618"/>
      <c r="M63" s="255"/>
      <c r="N63" s="256"/>
      <c r="O63" s="388"/>
      <c r="AA63" s="50"/>
      <c r="AD63" s="244"/>
      <c r="AE63" s="341" t="str">
        <f>IF(OR(AM63="",AM63=0,AJ63="",AG63=""),"",
(IF(AND(AF56=$P$4,AM63&lt;=$R$4),$V$4,0)+IF(AND(AF56=$P$5,AM63&lt;=$R$5),$V$5,0)+IF(AND(AF56=$P$6,AM63&lt;=$R$6),$V$6,0)+IF(AND(AF56=$P$7,AM63&lt;=$R$7),$V$7,0))
)</f>
        <v/>
      </c>
      <c r="AF63" s="153" t="s">
        <v>307</v>
      </c>
      <c r="AG63" s="598"/>
      <c r="AH63" s="599"/>
      <c r="AI63" s="600"/>
      <c r="AJ63" s="598"/>
      <c r="AK63" s="599"/>
      <c r="AL63" s="600"/>
      <c r="AM63" s="384"/>
      <c r="AN63" s="256"/>
      <c r="AO63" s="388"/>
    </row>
    <row r="64" spans="4:50" ht="15" customHeight="1" x14ac:dyDescent="0.3">
      <c r="D64" s="244"/>
      <c r="E64" s="341" t="str">
        <f>IF(OR(M64="",M64=0,J64="",G64=""),"",
(IF(AND(F56=$P$4,M64&lt;=$R$4),$V$4,0)+IF(AND(F56=$P$5,M64&lt;=$R$5),$V$5,0)+IF(AND(F56=$P$6,M64&lt;=$R$6),$V$6,0)+IF(AND(F56=$P$7,M64&lt;=$R$7),$V$7,0))
)</f>
        <v/>
      </c>
      <c r="F64" s="153" t="s">
        <v>308</v>
      </c>
      <c r="G64" s="619"/>
      <c r="H64" s="617"/>
      <c r="I64" s="618"/>
      <c r="J64" s="616"/>
      <c r="K64" s="617"/>
      <c r="L64" s="618"/>
      <c r="M64" s="255"/>
      <c r="N64" s="256"/>
      <c r="O64" s="388"/>
      <c r="AA64" s="50"/>
      <c r="AD64" s="244"/>
      <c r="AE64" s="341" t="str">
        <f>IF(OR(AM64="",AM64=0,AJ64="",AG64=""),"",
(IF(AND(AF56=$P$4,AM64&lt;=$R$4),$V$4,0)+IF(AND(AF56=$P$5,AM64&lt;=$R$5),$V$5,0)+IF(AND(AF56=$P$6,AM64&lt;=$R$6),$V$6,0)+IF(AND(AF56=$P$7,AM64&lt;=$R$7),$V$7,0))
)</f>
        <v/>
      </c>
      <c r="AF64" s="153" t="s">
        <v>308</v>
      </c>
      <c r="AG64" s="598"/>
      <c r="AH64" s="599"/>
      <c r="AI64" s="600"/>
      <c r="AJ64" s="598"/>
      <c r="AK64" s="599"/>
      <c r="AL64" s="600"/>
      <c r="AM64" s="384"/>
      <c r="AN64" s="256"/>
      <c r="AO64" s="388"/>
    </row>
    <row r="65" spans="4:50" ht="15" customHeight="1" thickBot="1" x14ac:dyDescent="0.35">
      <c r="D65" s="203"/>
      <c r="E65" s="3"/>
      <c r="F65" s="3"/>
      <c r="G65" s="3"/>
      <c r="H65" s="3"/>
      <c r="I65" s="3"/>
      <c r="J65" s="3"/>
      <c r="K65" s="3"/>
      <c r="L65" s="3"/>
      <c r="M65" s="3"/>
      <c r="N65" s="204"/>
      <c r="P65" s="2"/>
      <c r="AA65" s="50"/>
      <c r="AD65" s="203"/>
      <c r="AE65" s="3"/>
      <c r="AF65" s="3"/>
      <c r="AG65" s="3"/>
      <c r="AH65" s="3"/>
      <c r="AI65" s="3"/>
      <c r="AJ65" s="3"/>
      <c r="AK65" s="3"/>
      <c r="AL65" s="3"/>
      <c r="AM65" s="3"/>
      <c r="AN65" s="204"/>
      <c r="AP65" s="2"/>
    </row>
    <row r="66" spans="4:50" x14ac:dyDescent="0.3">
      <c r="D66" s="601" t="str">
        <f>IF(
OR(
OR(F68=$P$4,F68=$P$5,F68=$P$6,F68=$P$7),AND(G70="",G71="",G72="",G73="",G74="",G75="",G76="",J70="",J71="",J72="",J73="",J74="",J75="",J76="",M70="",M71="",M72="",M73="",M74="",M75="",M76="",K67="",K68="")
),
"",
"A Set-Aside must be selected."
)</f>
        <v/>
      </c>
      <c r="E66" s="602"/>
      <c r="F66" s="602"/>
      <c r="G66" s="602"/>
      <c r="H66" s="602"/>
      <c r="I66" s="602"/>
      <c r="J66" s="602"/>
      <c r="K66" s="602"/>
      <c r="L66" s="602"/>
      <c r="M66" s="602"/>
      <c r="N66" s="603"/>
      <c r="O66" s="2"/>
      <c r="AA66" s="50"/>
      <c r="AD66" s="601" t="str">
        <f>IF(
OR(
OR(AF68=$P$4,AF68=$P$5,AF68=$P$6,AF68=$P$7),AND(AG70="",AG71="",AG72="",AG73="",AG74="",AG75="",AG76="",AJ70="",AJ71="",AJ72="",AJ73="",AJ74="",AJ75="",AJ76="",AM70="",AM71="",AM72="",AM73="",AM74="",AM75="",AM76="",AK67="",AK68="")
),
"",
"A Set-Aside must be selected."
)</f>
        <v/>
      </c>
      <c r="AE66" s="602"/>
      <c r="AF66" s="602"/>
      <c r="AG66" s="602"/>
      <c r="AH66" s="602"/>
      <c r="AI66" s="602"/>
      <c r="AJ66" s="602"/>
      <c r="AK66" s="602"/>
      <c r="AL66" s="602"/>
      <c r="AM66" s="602"/>
      <c r="AN66" s="603"/>
      <c r="AO66" s="2"/>
    </row>
    <row r="67" spans="4:50" ht="15.75" customHeight="1" x14ac:dyDescent="0.3">
      <c r="D67" s="199"/>
      <c r="E67" s="9" t="s">
        <v>30</v>
      </c>
      <c r="F67" s="86">
        <f>F55+1</f>
        <v>3</v>
      </c>
      <c r="G67" s="9" t="s">
        <v>175</v>
      </c>
      <c r="H67" s="9"/>
      <c r="I67" s="9"/>
      <c r="J67" s="168" t="s">
        <v>111</v>
      </c>
      <c r="K67" s="148"/>
      <c r="N67" s="200"/>
      <c r="R67" s="596" t="s">
        <v>302</v>
      </c>
      <c r="S67" s="596" t="s">
        <v>303</v>
      </c>
      <c r="T67" s="596" t="s">
        <v>304</v>
      </c>
      <c r="U67" s="596" t="s">
        <v>305</v>
      </c>
      <c r="V67" s="596" t="s">
        <v>306</v>
      </c>
      <c r="W67" s="596" t="s">
        <v>307</v>
      </c>
      <c r="X67" s="596" t="s">
        <v>308</v>
      </c>
      <c r="AA67" s="50"/>
      <c r="AD67" s="199"/>
      <c r="AE67" s="9" t="s">
        <v>30</v>
      </c>
      <c r="AF67" s="86">
        <f>AF55+1</f>
        <v>3</v>
      </c>
      <c r="AG67" s="9" t="s">
        <v>175</v>
      </c>
      <c r="AH67" s="9"/>
      <c r="AI67" s="9"/>
      <c r="AJ67" s="168" t="s">
        <v>111</v>
      </c>
      <c r="AK67" s="382"/>
      <c r="AN67" s="200"/>
      <c r="AR67" s="596" t="s">
        <v>302</v>
      </c>
      <c r="AS67" s="596" t="s">
        <v>303</v>
      </c>
      <c r="AT67" s="596" t="s">
        <v>304</v>
      </c>
      <c r="AU67" s="596" t="s">
        <v>305</v>
      </c>
      <c r="AV67" s="596" t="s">
        <v>306</v>
      </c>
      <c r="AW67" s="596" t="s">
        <v>307</v>
      </c>
      <c r="AX67" s="596" t="s">
        <v>308</v>
      </c>
    </row>
    <row r="68" spans="4:50" x14ac:dyDescent="0.3">
      <c r="D68" s="604" t="s">
        <v>31</v>
      </c>
      <c r="E68" s="594"/>
      <c r="F68" s="151"/>
      <c r="G68" s="86" t="str">
        <f>IF(F68=$P$4,$Q$4,IF(F68=$P$5,$Q$5,IF(F68=$P$6,$Q$6,IF(F68=$P$7,Q$7,IF(F68=$P$8,"","")))))</f>
        <v/>
      </c>
      <c r="H68" s="201"/>
      <c r="I68" s="201"/>
      <c r="J68" s="168" t="s">
        <v>112</v>
      </c>
      <c r="K68" s="148"/>
      <c r="N68" s="200"/>
      <c r="R68" s="596"/>
      <c r="S68" s="596"/>
      <c r="T68" s="596"/>
      <c r="U68" s="596"/>
      <c r="V68" s="596"/>
      <c r="W68" s="596"/>
      <c r="X68" s="596"/>
      <c r="AA68" s="50"/>
      <c r="AD68" s="604" t="s">
        <v>31</v>
      </c>
      <c r="AE68" s="594"/>
      <c r="AF68" s="383"/>
      <c r="AG68" s="86" t="str">
        <f>IF(AF68=$P$4,$Q$4,IF(AF68=$P$5,$Q$5,IF(AF68=$P$6,$Q$6,IF(AF68=$P$7,AQ$7,IF(AF68=$P$8,"","")))))</f>
        <v/>
      </c>
      <c r="AH68" s="201"/>
      <c r="AI68" s="201"/>
      <c r="AJ68" s="168" t="s">
        <v>112</v>
      </c>
      <c r="AK68" s="382"/>
      <c r="AN68" s="200"/>
      <c r="AR68" s="596"/>
      <c r="AS68" s="596"/>
      <c r="AT68" s="596"/>
      <c r="AU68" s="596"/>
      <c r="AV68" s="596"/>
      <c r="AW68" s="596"/>
      <c r="AX68" s="596"/>
    </row>
    <row r="69" spans="4:50" x14ac:dyDescent="0.3">
      <c r="D69" s="244"/>
      <c r="E69" s="230" t="s">
        <v>52</v>
      </c>
      <c r="F69" s="9" t="s">
        <v>32</v>
      </c>
      <c r="G69" s="9" t="s">
        <v>33</v>
      </c>
      <c r="H69" s="9"/>
      <c r="I69" s="9"/>
      <c r="J69" s="9" t="s">
        <v>34</v>
      </c>
      <c r="K69" s="9"/>
      <c r="L69" s="9"/>
      <c r="M69" s="257" t="s">
        <v>35</v>
      </c>
      <c r="N69" s="202"/>
      <c r="O69" s="9"/>
      <c r="P69" s="198" t="s">
        <v>22</v>
      </c>
      <c r="Q69" s="198"/>
      <c r="R69" s="596"/>
      <c r="S69" s="596"/>
      <c r="T69" s="596"/>
      <c r="U69" s="596"/>
      <c r="V69" s="596"/>
      <c r="W69" s="596"/>
      <c r="X69" s="596"/>
      <c r="AA69" s="50"/>
      <c r="AD69" s="244"/>
      <c r="AE69" s="230" t="s">
        <v>52</v>
      </c>
      <c r="AF69" s="9" t="s">
        <v>32</v>
      </c>
      <c r="AG69" s="9" t="s">
        <v>33</v>
      </c>
      <c r="AH69" s="9"/>
      <c r="AI69" s="9"/>
      <c r="AJ69" s="9" t="s">
        <v>34</v>
      </c>
      <c r="AK69" s="9"/>
      <c r="AL69" s="9"/>
      <c r="AM69" s="257" t="s">
        <v>35</v>
      </c>
      <c r="AN69" s="202"/>
      <c r="AO69" s="9"/>
      <c r="AP69" s="198" t="s">
        <v>22</v>
      </c>
      <c r="AQ69" s="198"/>
      <c r="AR69" s="596"/>
      <c r="AS69" s="596"/>
      <c r="AT69" s="596"/>
      <c r="AU69" s="596"/>
      <c r="AV69" s="596"/>
      <c r="AW69" s="596"/>
      <c r="AX69" s="596"/>
    </row>
    <row r="70" spans="4:50" x14ac:dyDescent="0.3">
      <c r="D70" s="244"/>
      <c r="E70" s="355" t="str">
        <f>IF(OR(M70="",M70=0,J70="",G70=""),"",
(IF(AND(F68=$P$4,M70&lt;=$R$4),$V$4,0)+IF(AND(F68=$P$5,M70&lt;=$R$5),$V$5,0)+IF(AND(F68=$P$6,M70&lt;=$R$6),$V$6,0)+IF(AND(F68=$P$7,M70&lt;=$R$7),$V$7,0))
)</f>
        <v/>
      </c>
      <c r="F70" s="153" t="s">
        <v>302</v>
      </c>
      <c r="G70" s="619"/>
      <c r="H70" s="617"/>
      <c r="I70" s="618"/>
      <c r="J70" s="616"/>
      <c r="K70" s="617"/>
      <c r="L70" s="618"/>
      <c r="M70" s="255"/>
      <c r="N70" s="256"/>
      <c r="O70" s="388"/>
      <c r="P70" s="185">
        <f t="shared" ref="P70" si="31">IF(F68="",0,1)</f>
        <v>0</v>
      </c>
      <c r="R70" s="185" t="str">
        <f t="shared" ref="R70" si="32">E70</f>
        <v/>
      </c>
      <c r="S70" s="185" t="str">
        <f t="shared" ref="S70" si="33">E71</f>
        <v/>
      </c>
      <c r="T70" s="185" t="str">
        <f t="shared" ref="T70" si="34">E72</f>
        <v/>
      </c>
      <c r="U70" s="185" t="str">
        <f t="shared" ref="U70" si="35">E73</f>
        <v/>
      </c>
      <c r="V70" s="185" t="str">
        <f t="shared" ref="V70" si="36">E74</f>
        <v/>
      </c>
      <c r="W70" s="185" t="str">
        <f t="shared" ref="W70" si="37">E75</f>
        <v/>
      </c>
      <c r="X70" s="185" t="str">
        <f t="shared" ref="X70" si="38">E76</f>
        <v/>
      </c>
      <c r="AA70" s="50"/>
      <c r="AD70" s="244"/>
      <c r="AE70" s="355" t="str">
        <f>IF(OR(AM70="",AM70=0,AJ70="",AG70=""),"",
(IF(AND(AF68=$P$4,AM70&lt;=$R$4),$V$4,0)+IF(AND(AF68=$P$5,AM70&lt;=$R$5),$V$5,0)+IF(AND(AF68=$P$6,AM70&lt;=$R$6),$V$6,0)+IF(AND(AF68=$P$7,AM70&lt;=$R$7),$V$7,0))
)</f>
        <v/>
      </c>
      <c r="AF70" s="153" t="s">
        <v>302</v>
      </c>
      <c r="AG70" s="598"/>
      <c r="AH70" s="599"/>
      <c r="AI70" s="600"/>
      <c r="AJ70" s="598"/>
      <c r="AK70" s="599"/>
      <c r="AL70" s="600"/>
      <c r="AM70" s="384"/>
      <c r="AN70" s="256"/>
      <c r="AO70" s="388"/>
      <c r="AP70" s="185">
        <f t="shared" ref="AP70" si="39">IF(AF68="",0,1)</f>
        <v>0</v>
      </c>
      <c r="AR70" s="185" t="str">
        <f t="shared" ref="AR70" si="40">AE70</f>
        <v/>
      </c>
      <c r="AS70" s="185" t="str">
        <f t="shared" ref="AS70" si="41">AE71</f>
        <v/>
      </c>
      <c r="AT70" s="185" t="str">
        <f t="shared" ref="AT70" si="42">AE72</f>
        <v/>
      </c>
      <c r="AU70" s="185" t="str">
        <f t="shared" ref="AU70" si="43">AE73</f>
        <v/>
      </c>
      <c r="AV70" s="185" t="str">
        <f t="shared" ref="AV70" si="44">AE74</f>
        <v/>
      </c>
      <c r="AW70" s="185" t="str">
        <f t="shared" ref="AW70" si="45">AE75</f>
        <v/>
      </c>
      <c r="AX70" s="185" t="str">
        <f t="shared" ref="AX70" si="46">AE76</f>
        <v/>
      </c>
    </row>
    <row r="71" spans="4:50" ht="15" customHeight="1" x14ac:dyDescent="0.3">
      <c r="D71" s="244"/>
      <c r="E71" s="341" t="str">
        <f>IF(OR(M71="",M71=0,J71="",G71=""),"",
(IF(AND(F68=$P$4,M71&lt;=$R$4),$V$4,0)+IF(AND(F68=$P$5,M71&lt;=$R$5),$V$5,0)+IF(AND(F68=$P$6,M71&lt;=$R$6),$V$6,0)+IF(AND(F68=$P$7,M71&lt;=$R$7),$V$7,0))
)</f>
        <v/>
      </c>
      <c r="F71" s="153" t="s">
        <v>303</v>
      </c>
      <c r="G71" s="619"/>
      <c r="H71" s="617"/>
      <c r="I71" s="618"/>
      <c r="J71" s="616"/>
      <c r="K71" s="617"/>
      <c r="L71" s="618"/>
      <c r="M71" s="255"/>
      <c r="N71" s="256"/>
      <c r="O71" s="388"/>
      <c r="AA71" s="50"/>
      <c r="AD71" s="244"/>
      <c r="AE71" s="341" t="str">
        <f>IF(OR(AM71="",AM71=0,AJ71="",AG71=""),"",
(IF(AND(AF68=$P$4,AM71&lt;=$R$4),$V$4,0)+IF(AND(AF68=$P$5,AM71&lt;=$R$5),$V$5,0)+IF(AND(AF68=$P$6,AM71&lt;=$R$6),$V$6,0)+IF(AND(AF68=$P$7,AM71&lt;=$R$7),$V$7,0))
)</f>
        <v/>
      </c>
      <c r="AF71" s="153" t="s">
        <v>303</v>
      </c>
      <c r="AG71" s="598"/>
      <c r="AH71" s="599"/>
      <c r="AI71" s="600"/>
      <c r="AJ71" s="598"/>
      <c r="AK71" s="599"/>
      <c r="AL71" s="600"/>
      <c r="AM71" s="384"/>
      <c r="AN71" s="256"/>
      <c r="AO71" s="388"/>
    </row>
    <row r="72" spans="4:50" ht="15" customHeight="1" x14ac:dyDescent="0.3">
      <c r="D72" s="244"/>
      <c r="E72" s="341" t="str">
        <f>IF(OR(M72="",M72=0,J72="",G72=""),"",
(IF(AND(F68=$P$4,M72&lt;=$R$4),$V$4,0)+IF(AND(F68=$P$5,M72&lt;=$R$5),$V$5,0)+IF(AND(F68=$P$6,M72&lt;=$R$6),$V$6,0)+IF(AND(F68=$P$7,M72&lt;=$R$7),$V$7,0))
)</f>
        <v/>
      </c>
      <c r="F72" s="153" t="s">
        <v>304</v>
      </c>
      <c r="G72" s="619"/>
      <c r="H72" s="617"/>
      <c r="I72" s="618"/>
      <c r="J72" s="616"/>
      <c r="K72" s="617"/>
      <c r="L72" s="618"/>
      <c r="M72" s="255"/>
      <c r="N72" s="256"/>
      <c r="O72" s="388"/>
      <c r="AA72" s="50"/>
      <c r="AD72" s="244"/>
      <c r="AE72" s="341" t="str">
        <f>IF(OR(AM72="",AM72=0,AJ72="",AG72=""),"",
(IF(AND(AF68=$P$4,AM72&lt;=$R$4),$V$4,0)+IF(AND(AF68=$P$5,AM72&lt;=$R$5),$V$5,0)+IF(AND(AF68=$P$6,AM72&lt;=$R$6),$V$6,0)+IF(AND(AF68=$P$7,AM72&lt;=$R$7),$V$7,0))
)</f>
        <v/>
      </c>
      <c r="AF72" s="153" t="s">
        <v>304</v>
      </c>
      <c r="AG72" s="598"/>
      <c r="AH72" s="599"/>
      <c r="AI72" s="600"/>
      <c r="AJ72" s="598"/>
      <c r="AK72" s="599"/>
      <c r="AL72" s="600"/>
      <c r="AM72" s="384"/>
      <c r="AN72" s="256"/>
      <c r="AO72" s="388"/>
    </row>
    <row r="73" spans="4:50" ht="15" customHeight="1" x14ac:dyDescent="0.3">
      <c r="D73" s="244"/>
      <c r="E73" s="341" t="str">
        <f>IF(OR(M73="",M73=0,J73="",G73=""),"",
(IF(AND(F68=$P$4,M73&lt;=$R$4),$V$4,0)+IF(AND(F68=$P$5,M73&lt;=$R$5),$V$5,0)+IF(AND(F68=$P$6,M73&lt;=$R$6),$V$6,0)+IF(AND(F68=$P$7,M73&lt;=$R$7),$V$7,0))
)</f>
        <v/>
      </c>
      <c r="F73" s="153" t="s">
        <v>305</v>
      </c>
      <c r="G73" s="619"/>
      <c r="H73" s="617"/>
      <c r="I73" s="618"/>
      <c r="J73" s="616"/>
      <c r="K73" s="617"/>
      <c r="L73" s="618"/>
      <c r="M73" s="255"/>
      <c r="N73" s="256"/>
      <c r="O73" s="388"/>
      <c r="AA73" s="50"/>
      <c r="AD73" s="244"/>
      <c r="AE73" s="341" t="str">
        <f>IF(OR(AM73="",AM73=0,AJ73="",AG73=""),"",
(IF(AND(AF68=$P$4,AM73&lt;=$R$4),$V$4,0)+IF(AND(AF68=$P$5,AM73&lt;=$R$5),$V$5,0)+IF(AND(AF68=$P$6,AM73&lt;=$R$6),$V$6,0)+IF(AND(AF68=$P$7,AM73&lt;=$R$7),$V$7,0))
)</f>
        <v/>
      </c>
      <c r="AF73" s="153" t="s">
        <v>305</v>
      </c>
      <c r="AG73" s="598"/>
      <c r="AH73" s="599"/>
      <c r="AI73" s="600"/>
      <c r="AJ73" s="598"/>
      <c r="AK73" s="599"/>
      <c r="AL73" s="600"/>
      <c r="AM73" s="384"/>
      <c r="AN73" s="256"/>
      <c r="AO73" s="388"/>
    </row>
    <row r="74" spans="4:50" ht="15" customHeight="1" x14ac:dyDescent="0.3">
      <c r="D74" s="244"/>
      <c r="E74" s="341" t="str">
        <f>IF(OR(M74="",M74=0,J74="",G74=""),"",
(IF(AND(F68=$P$4,M74&lt;=$R$4),$V$4,0)+IF(AND(F68=$P$5,M74&lt;=$R$5),$V$5,0)+IF(AND(F68=$P$6,M74&lt;=$R$6),$V$6,0)+IF(AND(F68=$P$7,M74&lt;=$R$7),$V$7,0))
)</f>
        <v/>
      </c>
      <c r="F74" s="153" t="s">
        <v>306</v>
      </c>
      <c r="G74" s="619"/>
      <c r="H74" s="617"/>
      <c r="I74" s="618"/>
      <c r="J74" s="616"/>
      <c r="K74" s="617"/>
      <c r="L74" s="618"/>
      <c r="M74" s="255"/>
      <c r="N74" s="256"/>
      <c r="O74" s="388"/>
      <c r="AA74" s="50"/>
      <c r="AD74" s="244"/>
      <c r="AE74" s="341" t="str">
        <f>IF(OR(AM74="",AM74=0,AJ74="",AG74=""),"",
(IF(AND(AF68=$P$4,AM74&lt;=$R$4),$V$4,0)+IF(AND(AF68=$P$5,AM74&lt;=$R$5),$V$5,0)+IF(AND(AF68=$P$6,AM74&lt;=$R$6),$V$6,0)+IF(AND(AF68=$P$7,AM74&lt;=$R$7),$V$7,0))
)</f>
        <v/>
      </c>
      <c r="AF74" s="153" t="s">
        <v>306</v>
      </c>
      <c r="AG74" s="598"/>
      <c r="AH74" s="599"/>
      <c r="AI74" s="600"/>
      <c r="AJ74" s="598"/>
      <c r="AK74" s="599"/>
      <c r="AL74" s="600"/>
      <c r="AM74" s="384"/>
      <c r="AN74" s="256"/>
      <c r="AO74" s="388"/>
    </row>
    <row r="75" spans="4:50" ht="15" customHeight="1" x14ac:dyDescent="0.3">
      <c r="D75" s="244"/>
      <c r="E75" s="341" t="str">
        <f>IF(OR(M75="",M75=0,J75="",G75=""),"",
(IF(AND(F68=$P$4,M75&lt;=$R$4),$V$4,0)+IF(AND(F68=$P$5,M75&lt;=$R$5),$V$5,0)+IF(AND(F68=$P$6,M75&lt;=$R$6),$V$6,0)+IF(AND(F68=$P$7,M75&lt;=$R$7),$V$7,0))
)</f>
        <v/>
      </c>
      <c r="F75" s="153" t="s">
        <v>307</v>
      </c>
      <c r="G75" s="619"/>
      <c r="H75" s="617"/>
      <c r="I75" s="618"/>
      <c r="J75" s="616"/>
      <c r="K75" s="617"/>
      <c r="L75" s="618"/>
      <c r="M75" s="255"/>
      <c r="N75" s="256"/>
      <c r="O75" s="388"/>
      <c r="AA75" s="50"/>
      <c r="AD75" s="244"/>
      <c r="AE75" s="341" t="str">
        <f>IF(OR(AM75="",AM75=0,AJ75="",AG75=""),"",
(IF(AND(AF68=$P$4,AM75&lt;=$R$4),$V$4,0)+IF(AND(AF68=$P$5,AM75&lt;=$R$5),$V$5,0)+IF(AND(AF68=$P$6,AM75&lt;=$R$6),$V$6,0)+IF(AND(AF68=$P$7,AM75&lt;=$R$7),$V$7,0))
)</f>
        <v/>
      </c>
      <c r="AF75" s="153" t="s">
        <v>307</v>
      </c>
      <c r="AG75" s="598"/>
      <c r="AH75" s="599"/>
      <c r="AI75" s="600"/>
      <c r="AJ75" s="598"/>
      <c r="AK75" s="599"/>
      <c r="AL75" s="600"/>
      <c r="AM75" s="384"/>
      <c r="AN75" s="256"/>
      <c r="AO75" s="388"/>
    </row>
    <row r="76" spans="4:50" ht="15" customHeight="1" x14ac:dyDescent="0.3">
      <c r="D76" s="244"/>
      <c r="E76" s="341" t="str">
        <f>IF(OR(M76="",M76=0,J76="",G76=""),"",
(IF(AND(F68=$P$4,M76&lt;=$R$4),$V$4,0)+IF(AND(F68=$P$5,M76&lt;=$R$5),$V$5,0)+IF(AND(F68=$P$6,M76&lt;=$R$6),$V$6,0)+IF(AND(F68=$P$7,M76&lt;=$R$7),$V$7,0))
)</f>
        <v/>
      </c>
      <c r="F76" s="153" t="s">
        <v>308</v>
      </c>
      <c r="G76" s="619"/>
      <c r="H76" s="617"/>
      <c r="I76" s="618"/>
      <c r="J76" s="616"/>
      <c r="K76" s="617"/>
      <c r="L76" s="618"/>
      <c r="M76" s="255"/>
      <c r="N76" s="256"/>
      <c r="O76" s="388"/>
      <c r="AA76" s="50"/>
      <c r="AD76" s="244"/>
      <c r="AE76" s="341" t="str">
        <f>IF(OR(AM76="",AM76=0,AJ76="",AG76=""),"",
(IF(AND(AF68=$P$4,AM76&lt;=$R$4),$V$4,0)+IF(AND(AF68=$P$5,AM76&lt;=$R$5),$V$5,0)+IF(AND(AF68=$P$6,AM76&lt;=$R$6),$V$6,0)+IF(AND(AF68=$P$7,AM76&lt;=$R$7),$V$7,0))
)</f>
        <v/>
      </c>
      <c r="AF76" s="153" t="s">
        <v>308</v>
      </c>
      <c r="AG76" s="598"/>
      <c r="AH76" s="599"/>
      <c r="AI76" s="600"/>
      <c r="AJ76" s="598"/>
      <c r="AK76" s="599"/>
      <c r="AL76" s="600"/>
      <c r="AM76" s="384"/>
      <c r="AN76" s="256"/>
      <c r="AO76" s="388"/>
    </row>
    <row r="77" spans="4:50" ht="15" customHeight="1" thickBot="1" x14ac:dyDescent="0.35">
      <c r="D77" s="203"/>
      <c r="E77" s="3"/>
      <c r="F77" s="3"/>
      <c r="G77" s="3"/>
      <c r="H77" s="3"/>
      <c r="I77" s="3"/>
      <c r="J77" s="3"/>
      <c r="K77" s="3"/>
      <c r="L77" s="3"/>
      <c r="M77" s="3"/>
      <c r="N77" s="204"/>
      <c r="P77" s="2"/>
      <c r="AA77" s="50"/>
      <c r="AD77" s="203"/>
      <c r="AE77" s="3"/>
      <c r="AF77" s="3"/>
      <c r="AG77" s="3"/>
      <c r="AH77" s="3"/>
      <c r="AI77" s="3"/>
      <c r="AJ77" s="3"/>
      <c r="AK77" s="3"/>
      <c r="AL77" s="3"/>
      <c r="AM77" s="3"/>
      <c r="AN77" s="204"/>
      <c r="AP77" s="2"/>
    </row>
    <row r="78" spans="4:50" ht="15" customHeight="1" x14ac:dyDescent="0.3">
      <c r="D78" s="601" t="str">
        <f>IF(
OR(
OR(F80=$P$4,F80=$P$5,F80=$P$6,F80=$P$7),AND(G82="",G83="",G84="",G85="",G86="",G87="",G88="",J82="",J83="",J84="",J85="",J86="",J87="",J88="",M82="",M83="",M84="",M85="",M86="",M87="",M88="",K79="",K80="")
),
"",
"A Set-Aside must be selected."
)</f>
        <v/>
      </c>
      <c r="E78" s="602"/>
      <c r="F78" s="602"/>
      <c r="G78" s="602"/>
      <c r="H78" s="602"/>
      <c r="I78" s="602"/>
      <c r="J78" s="602"/>
      <c r="K78" s="602"/>
      <c r="L78" s="602"/>
      <c r="M78" s="602"/>
      <c r="N78" s="603"/>
      <c r="O78" s="2"/>
      <c r="AA78" s="50"/>
      <c r="AD78" s="601" t="str">
        <f>IF(
OR(
OR(AF80=$P$4,AF80=$P$5,AF80=$P$6,AF80=$P$7),AND(AG82="",AG83="",AG84="",AG85="",AG86="",AG87="",AG88="",AJ82="",AJ83="",AJ84="",AJ85="",AJ86="",AJ87="",AJ88="",AM82="",AM83="",AM84="",AM85="",AM86="",AM87="",AM88="",AK79="",AK80="")
),
"",
"A Set-Aside must be selected."
)</f>
        <v/>
      </c>
      <c r="AE78" s="602"/>
      <c r="AF78" s="602"/>
      <c r="AG78" s="602"/>
      <c r="AH78" s="602"/>
      <c r="AI78" s="602"/>
      <c r="AJ78" s="602"/>
      <c r="AK78" s="602"/>
      <c r="AL78" s="602"/>
      <c r="AM78" s="602"/>
      <c r="AN78" s="603"/>
      <c r="AO78" s="2"/>
    </row>
    <row r="79" spans="4:50" ht="15.75" customHeight="1" x14ac:dyDescent="0.3">
      <c r="D79" s="199"/>
      <c r="E79" s="9" t="s">
        <v>30</v>
      </c>
      <c r="F79" s="86">
        <f>F67+1</f>
        <v>4</v>
      </c>
      <c r="G79" s="9" t="s">
        <v>175</v>
      </c>
      <c r="H79" s="9"/>
      <c r="I79" s="9"/>
      <c r="J79" s="168" t="s">
        <v>111</v>
      </c>
      <c r="K79" s="148"/>
      <c r="N79" s="200"/>
      <c r="R79" s="596" t="s">
        <v>302</v>
      </c>
      <c r="S79" s="596" t="s">
        <v>303</v>
      </c>
      <c r="T79" s="596" t="s">
        <v>304</v>
      </c>
      <c r="U79" s="596" t="s">
        <v>305</v>
      </c>
      <c r="V79" s="596" t="s">
        <v>306</v>
      </c>
      <c r="W79" s="596" t="s">
        <v>307</v>
      </c>
      <c r="X79" s="596" t="s">
        <v>308</v>
      </c>
      <c r="AA79" s="50"/>
      <c r="AD79" s="199"/>
      <c r="AE79" s="9" t="s">
        <v>30</v>
      </c>
      <c r="AF79" s="86">
        <f>AF67+1</f>
        <v>4</v>
      </c>
      <c r="AG79" s="9" t="s">
        <v>175</v>
      </c>
      <c r="AH79" s="9"/>
      <c r="AI79" s="9"/>
      <c r="AJ79" s="168" t="s">
        <v>111</v>
      </c>
      <c r="AK79" s="382"/>
      <c r="AN79" s="200"/>
      <c r="AR79" s="596" t="s">
        <v>302</v>
      </c>
      <c r="AS79" s="596" t="s">
        <v>303</v>
      </c>
      <c r="AT79" s="596" t="s">
        <v>304</v>
      </c>
      <c r="AU79" s="596" t="s">
        <v>305</v>
      </c>
      <c r="AV79" s="596" t="s">
        <v>306</v>
      </c>
      <c r="AW79" s="596" t="s">
        <v>307</v>
      </c>
      <c r="AX79" s="596" t="s">
        <v>308</v>
      </c>
    </row>
    <row r="80" spans="4:50" x14ac:dyDescent="0.3">
      <c r="D80" s="604" t="s">
        <v>31</v>
      </c>
      <c r="E80" s="594"/>
      <c r="F80" s="151"/>
      <c r="G80" s="86" t="str">
        <f>IF(F80=$P$4,$Q$4,IF(F80=$P$5,$Q$5,IF(F80=$P$6,$Q$6,IF(F80=$P$7,Q$7,IF(F80=$P$8,"","")))))</f>
        <v/>
      </c>
      <c r="H80" s="201"/>
      <c r="I80" s="201"/>
      <c r="J80" s="168" t="s">
        <v>112</v>
      </c>
      <c r="K80" s="148"/>
      <c r="N80" s="200"/>
      <c r="R80" s="596"/>
      <c r="S80" s="596"/>
      <c r="T80" s="596"/>
      <c r="U80" s="596"/>
      <c r="V80" s="596"/>
      <c r="W80" s="596"/>
      <c r="X80" s="596"/>
      <c r="AA80" s="50"/>
      <c r="AD80" s="604" t="s">
        <v>31</v>
      </c>
      <c r="AE80" s="594"/>
      <c r="AF80" s="383"/>
      <c r="AG80" s="86" t="str">
        <f>IF(AF80=$P$4,$Q$4,IF(AF80=$P$5,$Q$5,IF(AF80=$P$6,$Q$6,IF(AF80=$P$7,AQ$7,IF(AF80=$P$8,"","")))))</f>
        <v/>
      </c>
      <c r="AH80" s="201"/>
      <c r="AI80" s="201"/>
      <c r="AJ80" s="168" t="s">
        <v>112</v>
      </c>
      <c r="AK80" s="382"/>
      <c r="AN80" s="200"/>
      <c r="AR80" s="596"/>
      <c r="AS80" s="596"/>
      <c r="AT80" s="596"/>
      <c r="AU80" s="596"/>
      <c r="AV80" s="596"/>
      <c r="AW80" s="596"/>
      <c r="AX80" s="596"/>
    </row>
    <row r="81" spans="4:50" x14ac:dyDescent="0.3">
      <c r="D81" s="244"/>
      <c r="E81" s="230" t="s">
        <v>52</v>
      </c>
      <c r="F81" s="9" t="s">
        <v>32</v>
      </c>
      <c r="G81" s="9" t="s">
        <v>33</v>
      </c>
      <c r="H81" s="9"/>
      <c r="I81" s="9"/>
      <c r="J81" s="9" t="s">
        <v>34</v>
      </c>
      <c r="K81" s="9"/>
      <c r="L81" s="9"/>
      <c r="M81" s="257" t="s">
        <v>35</v>
      </c>
      <c r="N81" s="202"/>
      <c r="O81" s="9"/>
      <c r="P81" s="198" t="s">
        <v>22</v>
      </c>
      <c r="Q81" s="198"/>
      <c r="R81" s="596"/>
      <c r="S81" s="596"/>
      <c r="T81" s="596"/>
      <c r="U81" s="596"/>
      <c r="V81" s="596"/>
      <c r="W81" s="596"/>
      <c r="X81" s="596"/>
      <c r="AA81" s="50"/>
      <c r="AD81" s="244"/>
      <c r="AE81" s="230" t="s">
        <v>52</v>
      </c>
      <c r="AF81" s="9" t="s">
        <v>32</v>
      </c>
      <c r="AG81" s="9" t="s">
        <v>33</v>
      </c>
      <c r="AH81" s="9"/>
      <c r="AI81" s="9"/>
      <c r="AJ81" s="9" t="s">
        <v>34</v>
      </c>
      <c r="AK81" s="9"/>
      <c r="AL81" s="9"/>
      <c r="AM81" s="257" t="s">
        <v>35</v>
      </c>
      <c r="AN81" s="202"/>
      <c r="AO81" s="9"/>
      <c r="AP81" s="198" t="s">
        <v>22</v>
      </c>
      <c r="AQ81" s="198"/>
      <c r="AR81" s="596"/>
      <c r="AS81" s="596"/>
      <c r="AT81" s="596"/>
      <c r="AU81" s="596"/>
      <c r="AV81" s="596"/>
      <c r="AW81" s="596"/>
      <c r="AX81" s="596"/>
    </row>
    <row r="82" spans="4:50" x14ac:dyDescent="0.3">
      <c r="D82" s="244"/>
      <c r="E82" s="355" t="str">
        <f>IF(OR(M82="",M82=0,J82="",G82=""),"",
(IF(AND(F80=$P$4,M82&lt;=$R$4),$V$4,0)+IF(AND(F80=$P$5,M82&lt;=$R$5),$V$5,0)+IF(AND(F80=$P$6,M82&lt;=$R$6),$V$6,0)+IF(AND(F80=$P$7,M82&lt;=$R$7),$V$7,0))
)</f>
        <v/>
      </c>
      <c r="F82" s="153" t="s">
        <v>302</v>
      </c>
      <c r="G82" s="619"/>
      <c r="H82" s="617"/>
      <c r="I82" s="618"/>
      <c r="J82" s="616"/>
      <c r="K82" s="617"/>
      <c r="L82" s="618"/>
      <c r="M82" s="255"/>
      <c r="N82" s="256"/>
      <c r="O82" s="388"/>
      <c r="P82" s="185">
        <f t="shared" ref="P82" si="47">IF(F80="",0,1)</f>
        <v>0</v>
      </c>
      <c r="R82" s="185" t="str">
        <f t="shared" ref="R82" si="48">E82</f>
        <v/>
      </c>
      <c r="S82" s="185" t="str">
        <f t="shared" ref="S82" si="49">E83</f>
        <v/>
      </c>
      <c r="T82" s="185" t="str">
        <f t="shared" ref="T82" si="50">E84</f>
        <v/>
      </c>
      <c r="U82" s="185" t="str">
        <f t="shared" ref="U82" si="51">E85</f>
        <v/>
      </c>
      <c r="V82" s="185" t="str">
        <f t="shared" ref="V82" si="52">E86</f>
        <v/>
      </c>
      <c r="W82" s="185" t="str">
        <f t="shared" ref="W82" si="53">E87</f>
        <v/>
      </c>
      <c r="X82" s="185" t="str">
        <f t="shared" ref="X82" si="54">E88</f>
        <v/>
      </c>
      <c r="AA82" s="50"/>
      <c r="AD82" s="244"/>
      <c r="AE82" s="355" t="str">
        <f>IF(OR(AM82="",AM82=0,AJ82="",AG82=""),"",
(IF(AND(AF80=$P$4,AM82&lt;=$R$4),$V$4,0)+IF(AND(AF80=$P$5,AM82&lt;=$R$5),$V$5,0)+IF(AND(AF80=$P$6,AM82&lt;=$R$6),$V$6,0)+IF(AND(AF80=$P$7,AM82&lt;=$R$7),$V$7,0))
)</f>
        <v/>
      </c>
      <c r="AF82" s="153" t="s">
        <v>302</v>
      </c>
      <c r="AG82" s="598"/>
      <c r="AH82" s="599"/>
      <c r="AI82" s="600"/>
      <c r="AJ82" s="598"/>
      <c r="AK82" s="599"/>
      <c r="AL82" s="600"/>
      <c r="AM82" s="384"/>
      <c r="AN82" s="256"/>
      <c r="AO82" s="388"/>
      <c r="AP82" s="185">
        <f t="shared" ref="AP82" si="55">IF(AF80="",0,1)</f>
        <v>0</v>
      </c>
      <c r="AR82" s="185" t="str">
        <f t="shared" ref="AR82" si="56">AE82</f>
        <v/>
      </c>
      <c r="AS82" s="185" t="str">
        <f t="shared" ref="AS82" si="57">AE83</f>
        <v/>
      </c>
      <c r="AT82" s="185" t="str">
        <f t="shared" ref="AT82" si="58">AE84</f>
        <v/>
      </c>
      <c r="AU82" s="185" t="str">
        <f t="shared" ref="AU82" si="59">AE85</f>
        <v/>
      </c>
      <c r="AV82" s="185" t="str">
        <f t="shared" ref="AV82" si="60">AE86</f>
        <v/>
      </c>
      <c r="AW82" s="185" t="str">
        <f t="shared" ref="AW82" si="61">AE87</f>
        <v/>
      </c>
      <c r="AX82" s="185" t="str">
        <f t="shared" ref="AX82" si="62">AE88</f>
        <v/>
      </c>
    </row>
    <row r="83" spans="4:50" x14ac:dyDescent="0.3">
      <c r="D83" s="244"/>
      <c r="E83" s="341" t="str">
        <f>IF(OR(M83="",M83=0,J83="",G83=""),"",
(IF(AND(F80=$P$4,M83&lt;=$R$4),$V$4,0)+IF(AND(F80=$P$5,M83&lt;=$R$5),$V$5,0)+IF(AND(F80=$P$6,M83&lt;=$R$6),$V$6,0)+IF(AND(F80=$P$7,M83&lt;=$R$7),$V$7,0))
)</f>
        <v/>
      </c>
      <c r="F83" s="153" t="s">
        <v>303</v>
      </c>
      <c r="G83" s="619"/>
      <c r="H83" s="617"/>
      <c r="I83" s="618"/>
      <c r="J83" s="616"/>
      <c r="K83" s="617"/>
      <c r="L83" s="618"/>
      <c r="M83" s="255"/>
      <c r="N83" s="256"/>
      <c r="O83" s="388"/>
      <c r="AA83" s="50"/>
      <c r="AD83" s="244"/>
      <c r="AE83" s="341" t="str">
        <f>IF(OR(AM83="",AM83=0,AJ83="",AG83=""),"",
(IF(AND(AF80=$P$4,AM83&lt;=$R$4),$V$4,0)+IF(AND(AF80=$P$5,AM83&lt;=$R$5),$V$5,0)+IF(AND(AF80=$P$6,AM83&lt;=$R$6),$V$6,0)+IF(AND(AF80=$P$7,AM83&lt;=$R$7),$V$7,0))
)</f>
        <v/>
      </c>
      <c r="AF83" s="153" t="s">
        <v>303</v>
      </c>
      <c r="AG83" s="598"/>
      <c r="AH83" s="599"/>
      <c r="AI83" s="600"/>
      <c r="AJ83" s="598"/>
      <c r="AK83" s="599"/>
      <c r="AL83" s="600"/>
      <c r="AM83" s="384"/>
      <c r="AN83" s="256"/>
      <c r="AO83" s="388"/>
    </row>
    <row r="84" spans="4:50" ht="15" customHeight="1" x14ac:dyDescent="0.3">
      <c r="D84" s="244"/>
      <c r="E84" s="341" t="str">
        <f>IF(OR(M84="",M84=0,J84="",G84=""),"",
(IF(AND(F80=$P$4,M84&lt;=$R$4),$V$4,0)+IF(AND(F80=$P$5,M84&lt;=$R$5),$V$5,0)+IF(AND(F80=$P$6,M84&lt;=$R$6),$V$6,0)+IF(AND(F80=$P$7,M84&lt;=$R$7),$V$7,0))
)</f>
        <v/>
      </c>
      <c r="F84" s="153" t="s">
        <v>304</v>
      </c>
      <c r="G84" s="619"/>
      <c r="H84" s="617"/>
      <c r="I84" s="618"/>
      <c r="J84" s="616"/>
      <c r="K84" s="617"/>
      <c r="L84" s="618"/>
      <c r="M84" s="255"/>
      <c r="N84" s="256"/>
      <c r="O84" s="388"/>
      <c r="AA84" s="50"/>
      <c r="AD84" s="244"/>
      <c r="AE84" s="341" t="str">
        <f>IF(OR(AM84="",AM84=0,AJ84="",AG84=""),"",
(IF(AND(AF80=$P$4,AM84&lt;=$R$4),$V$4,0)+IF(AND(AF80=$P$5,AM84&lt;=$R$5),$V$5,0)+IF(AND(AF80=$P$6,AM84&lt;=$R$6),$V$6,0)+IF(AND(AF80=$P$7,AM84&lt;=$R$7),$V$7,0))
)</f>
        <v/>
      </c>
      <c r="AF84" s="153" t="s">
        <v>304</v>
      </c>
      <c r="AG84" s="598"/>
      <c r="AH84" s="599"/>
      <c r="AI84" s="600"/>
      <c r="AJ84" s="598"/>
      <c r="AK84" s="599"/>
      <c r="AL84" s="600"/>
      <c r="AM84" s="384"/>
      <c r="AN84" s="256"/>
      <c r="AO84" s="388"/>
    </row>
    <row r="85" spans="4:50" ht="15" customHeight="1" x14ac:dyDescent="0.3">
      <c r="D85" s="244"/>
      <c r="E85" s="341" t="str">
        <f>IF(OR(M85="",M85=0,J85="",G85=""),"",
(IF(AND(F80=$P$4,M85&lt;=$R$4),$V$4,0)+IF(AND(F80=$P$5,M85&lt;=$R$5),$V$5,0)+IF(AND(F80=$P$6,M85&lt;=$R$6),$V$6,0)+IF(AND(F80=$P$7,M85&lt;=$R$7),$V$7,0))
)</f>
        <v/>
      </c>
      <c r="F85" s="153" t="s">
        <v>305</v>
      </c>
      <c r="G85" s="619"/>
      <c r="H85" s="617"/>
      <c r="I85" s="618"/>
      <c r="J85" s="616"/>
      <c r="K85" s="617"/>
      <c r="L85" s="618"/>
      <c r="M85" s="255"/>
      <c r="N85" s="256"/>
      <c r="O85" s="388"/>
      <c r="AA85" s="50"/>
      <c r="AD85" s="244"/>
      <c r="AE85" s="341" t="str">
        <f>IF(OR(AM85="",AM85=0,AJ85="",AG85=""),"",
(IF(AND(AF80=$P$4,AM85&lt;=$R$4),$V$4,0)+IF(AND(AF80=$P$5,AM85&lt;=$R$5),$V$5,0)+IF(AND(AF80=$P$6,AM85&lt;=$R$6),$V$6,0)+IF(AND(AF80=$P$7,AM85&lt;=$R$7),$V$7,0))
)</f>
        <v/>
      </c>
      <c r="AF85" s="153" t="s">
        <v>305</v>
      </c>
      <c r="AG85" s="598"/>
      <c r="AH85" s="599"/>
      <c r="AI85" s="600"/>
      <c r="AJ85" s="598"/>
      <c r="AK85" s="599"/>
      <c r="AL85" s="600"/>
      <c r="AM85" s="384"/>
      <c r="AN85" s="256"/>
      <c r="AO85" s="388"/>
    </row>
    <row r="86" spans="4:50" ht="15" customHeight="1" x14ac:dyDescent="0.3">
      <c r="D86" s="244"/>
      <c r="E86" s="341" t="str">
        <f>IF(OR(M86="",M86=0,J86="",G86=""),"",
(IF(AND(F80=$P$4,M86&lt;=$R$4),$V$4,0)+IF(AND(F80=$P$5,M86&lt;=$R$5),$V$5,0)+IF(AND(F80=$P$6,M86&lt;=$R$6),$V$6,0)+IF(AND(F80=$P$7,M86&lt;=$R$7),$V$7,0))
)</f>
        <v/>
      </c>
      <c r="F86" s="153" t="s">
        <v>306</v>
      </c>
      <c r="G86" s="619"/>
      <c r="H86" s="617"/>
      <c r="I86" s="618"/>
      <c r="J86" s="616"/>
      <c r="K86" s="617"/>
      <c r="L86" s="618"/>
      <c r="M86" s="255"/>
      <c r="N86" s="256"/>
      <c r="O86" s="388"/>
      <c r="AA86" s="50"/>
      <c r="AD86" s="244"/>
      <c r="AE86" s="341" t="str">
        <f>IF(OR(AM86="",AM86=0,AJ86="",AG86=""),"",
(IF(AND(AF80=$P$4,AM86&lt;=$R$4),$V$4,0)+IF(AND(AF80=$P$5,AM86&lt;=$R$5),$V$5,0)+IF(AND(AF80=$P$6,AM86&lt;=$R$6),$V$6,0)+IF(AND(AF80=$P$7,AM86&lt;=$R$7),$V$7,0))
)</f>
        <v/>
      </c>
      <c r="AF86" s="153" t="s">
        <v>306</v>
      </c>
      <c r="AG86" s="598"/>
      <c r="AH86" s="599"/>
      <c r="AI86" s="600"/>
      <c r="AJ86" s="598"/>
      <c r="AK86" s="599"/>
      <c r="AL86" s="600"/>
      <c r="AM86" s="384"/>
      <c r="AN86" s="256"/>
      <c r="AO86" s="388"/>
    </row>
    <row r="87" spans="4:50" ht="15" customHeight="1" x14ac:dyDescent="0.3">
      <c r="D87" s="244"/>
      <c r="E87" s="341" t="str">
        <f>IF(OR(M87="",M87=0,J87="",G87=""),"",
(IF(AND(F80=$P$4,M87&lt;=$R$4),$V$4,0)+IF(AND(F80=$P$5,M87&lt;=$R$5),$V$5,0)+IF(AND(F80=$P$6,M87&lt;=$R$6),$V$6,0)+IF(AND(F80=$P$7,M87&lt;=$R$7),$V$7,0))
)</f>
        <v/>
      </c>
      <c r="F87" s="153" t="s">
        <v>307</v>
      </c>
      <c r="G87" s="619"/>
      <c r="H87" s="617"/>
      <c r="I87" s="618"/>
      <c r="J87" s="616"/>
      <c r="K87" s="617"/>
      <c r="L87" s="618"/>
      <c r="M87" s="255"/>
      <c r="N87" s="256"/>
      <c r="O87" s="388"/>
      <c r="AA87" s="50"/>
      <c r="AD87" s="244"/>
      <c r="AE87" s="341" t="str">
        <f>IF(OR(AM87="",AM87=0,AJ87="",AG87=""),"",
(IF(AND(AF80=$P$4,AM87&lt;=$R$4),$V$4,0)+IF(AND(AF80=$P$5,AM87&lt;=$R$5),$V$5,0)+IF(AND(AF80=$P$6,AM87&lt;=$R$6),$V$6,0)+IF(AND(AF80=$P$7,AM87&lt;=$R$7),$V$7,0))
)</f>
        <v/>
      </c>
      <c r="AF87" s="153" t="s">
        <v>307</v>
      </c>
      <c r="AG87" s="598"/>
      <c r="AH87" s="599"/>
      <c r="AI87" s="600"/>
      <c r="AJ87" s="598"/>
      <c r="AK87" s="599"/>
      <c r="AL87" s="600"/>
      <c r="AM87" s="384"/>
      <c r="AN87" s="256"/>
      <c r="AO87" s="388"/>
    </row>
    <row r="88" spans="4:50" ht="15" customHeight="1" x14ac:dyDescent="0.3">
      <c r="D88" s="244"/>
      <c r="E88" s="341" t="str">
        <f>IF(OR(M88="",M88=0,J88="",G88=""),"",
(IF(AND(F80=$P$4,M88&lt;=$R$4),$V$4,0)+IF(AND(F80=$P$5,M88&lt;=$R$5),$V$5,0)+IF(AND(F80=$P$6,M88&lt;=$R$6),$V$6,0)+IF(AND(F80=$P$7,M88&lt;=$R$7),$V$7,0))
)</f>
        <v/>
      </c>
      <c r="F88" s="153" t="s">
        <v>308</v>
      </c>
      <c r="G88" s="619"/>
      <c r="H88" s="617"/>
      <c r="I88" s="618"/>
      <c r="J88" s="616"/>
      <c r="K88" s="617"/>
      <c r="L88" s="618"/>
      <c r="M88" s="255"/>
      <c r="N88" s="256"/>
      <c r="O88" s="388"/>
      <c r="AA88" s="50"/>
      <c r="AD88" s="244"/>
      <c r="AE88" s="341" t="str">
        <f>IF(OR(AM88="",AM88=0,AJ88="",AG88=""),"",
(IF(AND(AF80=$P$4,AM88&lt;=$R$4),$V$4,0)+IF(AND(AF80=$P$5,AM88&lt;=$R$5),$V$5,0)+IF(AND(AF80=$P$6,AM88&lt;=$R$6),$V$6,0)+IF(AND(AF80=$P$7,AM88&lt;=$R$7),$V$7,0))
)</f>
        <v/>
      </c>
      <c r="AF88" s="153" t="s">
        <v>308</v>
      </c>
      <c r="AG88" s="598"/>
      <c r="AH88" s="599"/>
      <c r="AI88" s="600"/>
      <c r="AJ88" s="598"/>
      <c r="AK88" s="599"/>
      <c r="AL88" s="600"/>
      <c r="AM88" s="384"/>
      <c r="AN88" s="256"/>
      <c r="AO88" s="388"/>
    </row>
    <row r="89" spans="4:50" ht="15" customHeight="1" thickBot="1" x14ac:dyDescent="0.35">
      <c r="D89" s="203"/>
      <c r="E89" s="3"/>
      <c r="F89" s="3"/>
      <c r="G89" s="3"/>
      <c r="H89" s="3"/>
      <c r="I89" s="3"/>
      <c r="J89" s="3"/>
      <c r="K89" s="3"/>
      <c r="L89" s="3"/>
      <c r="M89" s="3"/>
      <c r="N89" s="204"/>
      <c r="P89" s="2"/>
      <c r="AA89" s="50"/>
      <c r="AD89" s="203"/>
      <c r="AE89" s="3"/>
      <c r="AF89" s="3"/>
      <c r="AG89" s="3"/>
      <c r="AH89" s="3"/>
      <c r="AI89" s="3"/>
      <c r="AJ89" s="3"/>
      <c r="AK89" s="3"/>
      <c r="AL89" s="3"/>
      <c r="AM89" s="3"/>
      <c r="AN89" s="204"/>
      <c r="AP89" s="2"/>
    </row>
    <row r="90" spans="4:50" ht="15" customHeight="1" x14ac:dyDescent="0.3">
      <c r="D90" s="601" t="str">
        <f>IF(
OR(
OR(F92=$P$4,F92=$P$5,F92=$P$6,F92=$P$7),AND(G94="",G95="",G96="",G97="",G98="",G99="",G100="",J94="",J95="",J96="",J97="",J98="",J99="",J100="",M94="",M95="",M96="",M97="",M98="",M99="",M100="",K91="",K92="")
),
"",
"A Set-Aside must be selected."
)</f>
        <v/>
      </c>
      <c r="E90" s="602"/>
      <c r="F90" s="602"/>
      <c r="G90" s="602"/>
      <c r="H90" s="602"/>
      <c r="I90" s="602"/>
      <c r="J90" s="602"/>
      <c r="K90" s="602"/>
      <c r="L90" s="602"/>
      <c r="M90" s="602"/>
      <c r="N90" s="603"/>
      <c r="O90" s="2"/>
      <c r="AA90" s="50"/>
      <c r="AD90" s="601" t="str">
        <f>IF(
OR(
OR(AF92=$P$4,AF92=$P$5,AF92=$P$6,AF92=$P$7),AND(AG94="",AG95="",AG96="",AG97="",AG98="",AG99="",AG100="",AJ94="",AJ95="",AJ96="",AJ97="",AJ98="",AJ99="",AJ100="",AM94="",AM95="",AM96="",AM97="",AM98="",AM99="",AM100="",AK91="",AK92="")
),
"",
"A Set-Aside must be selected."
)</f>
        <v/>
      </c>
      <c r="AE90" s="602"/>
      <c r="AF90" s="602"/>
      <c r="AG90" s="602"/>
      <c r="AH90" s="602"/>
      <c r="AI90" s="602"/>
      <c r="AJ90" s="602"/>
      <c r="AK90" s="602"/>
      <c r="AL90" s="602"/>
      <c r="AM90" s="602"/>
      <c r="AN90" s="603"/>
      <c r="AO90" s="2"/>
    </row>
    <row r="91" spans="4:50" ht="15" customHeight="1" x14ac:dyDescent="0.3">
      <c r="D91" s="199"/>
      <c r="E91" s="9" t="s">
        <v>30</v>
      </c>
      <c r="F91" s="86">
        <f>F79+1</f>
        <v>5</v>
      </c>
      <c r="G91" s="9" t="s">
        <v>175</v>
      </c>
      <c r="H91" s="9"/>
      <c r="I91" s="9"/>
      <c r="J91" s="168" t="s">
        <v>111</v>
      </c>
      <c r="K91" s="148"/>
      <c r="N91" s="200"/>
      <c r="R91" s="596" t="s">
        <v>302</v>
      </c>
      <c r="S91" s="596" t="s">
        <v>303</v>
      </c>
      <c r="T91" s="596" t="s">
        <v>304</v>
      </c>
      <c r="U91" s="596" t="s">
        <v>305</v>
      </c>
      <c r="V91" s="596" t="s">
        <v>306</v>
      </c>
      <c r="W91" s="596" t="s">
        <v>307</v>
      </c>
      <c r="X91" s="596" t="s">
        <v>308</v>
      </c>
      <c r="AA91" s="50"/>
      <c r="AD91" s="199"/>
      <c r="AE91" s="9" t="s">
        <v>30</v>
      </c>
      <c r="AF91" s="86">
        <f>AF79+1</f>
        <v>5</v>
      </c>
      <c r="AG91" s="9" t="s">
        <v>175</v>
      </c>
      <c r="AH91" s="9"/>
      <c r="AI91" s="9"/>
      <c r="AJ91" s="168" t="s">
        <v>111</v>
      </c>
      <c r="AK91" s="382"/>
      <c r="AN91" s="200"/>
      <c r="AR91" s="596" t="s">
        <v>302</v>
      </c>
      <c r="AS91" s="596" t="s">
        <v>303</v>
      </c>
      <c r="AT91" s="596" t="s">
        <v>304</v>
      </c>
      <c r="AU91" s="596" t="s">
        <v>305</v>
      </c>
      <c r="AV91" s="596" t="s">
        <v>306</v>
      </c>
      <c r="AW91" s="596" t="s">
        <v>307</v>
      </c>
      <c r="AX91" s="596" t="s">
        <v>308</v>
      </c>
    </row>
    <row r="92" spans="4:50" x14ac:dyDescent="0.3">
      <c r="D92" s="604" t="s">
        <v>31</v>
      </c>
      <c r="E92" s="594"/>
      <c r="F92" s="151"/>
      <c r="G92" s="86" t="str">
        <f>IF(F92=$P$4,$Q$4,IF(F92=$P$5,$Q$5,IF(F92=$P$6,$Q$6,IF(F92=$P$7,Q$7,IF(F92=$P$8,"","")))))</f>
        <v/>
      </c>
      <c r="H92" s="201"/>
      <c r="I92" s="201"/>
      <c r="J92" s="168" t="s">
        <v>112</v>
      </c>
      <c r="K92" s="148"/>
      <c r="N92" s="200"/>
      <c r="R92" s="596"/>
      <c r="S92" s="596"/>
      <c r="T92" s="596"/>
      <c r="U92" s="596"/>
      <c r="V92" s="596"/>
      <c r="W92" s="596"/>
      <c r="X92" s="596"/>
      <c r="AA92" s="50"/>
      <c r="AD92" s="604" t="s">
        <v>31</v>
      </c>
      <c r="AE92" s="594"/>
      <c r="AF92" s="383"/>
      <c r="AG92" s="86" t="str">
        <f>IF(AF92=$P$4,$Q$4,IF(AF92=$P$5,$Q$5,IF(AF92=$P$6,$Q$6,IF(AF92=$P$7,AQ$7,IF(AF92=$P$8,"","")))))</f>
        <v/>
      </c>
      <c r="AH92" s="201"/>
      <c r="AI92" s="201"/>
      <c r="AJ92" s="168" t="s">
        <v>112</v>
      </c>
      <c r="AK92" s="382"/>
      <c r="AN92" s="200"/>
      <c r="AR92" s="596"/>
      <c r="AS92" s="596"/>
      <c r="AT92" s="596"/>
      <c r="AU92" s="596"/>
      <c r="AV92" s="596"/>
      <c r="AW92" s="596"/>
      <c r="AX92" s="596"/>
    </row>
    <row r="93" spans="4:50" x14ac:dyDescent="0.3">
      <c r="D93" s="244"/>
      <c r="E93" s="230" t="s">
        <v>52</v>
      </c>
      <c r="F93" s="9" t="s">
        <v>32</v>
      </c>
      <c r="G93" s="9" t="s">
        <v>33</v>
      </c>
      <c r="H93" s="9"/>
      <c r="I93" s="9"/>
      <c r="J93" s="9" t="s">
        <v>34</v>
      </c>
      <c r="K93" s="9"/>
      <c r="L93" s="9"/>
      <c r="M93" s="257" t="s">
        <v>35</v>
      </c>
      <c r="N93" s="202"/>
      <c r="O93" s="9"/>
      <c r="P93" s="198" t="s">
        <v>22</v>
      </c>
      <c r="Q93" s="198"/>
      <c r="R93" s="596"/>
      <c r="S93" s="596"/>
      <c r="T93" s="596"/>
      <c r="U93" s="596"/>
      <c r="V93" s="596"/>
      <c r="W93" s="596"/>
      <c r="X93" s="596"/>
      <c r="AA93" s="50"/>
      <c r="AD93" s="244"/>
      <c r="AE93" s="230" t="s">
        <v>52</v>
      </c>
      <c r="AF93" s="9" t="s">
        <v>32</v>
      </c>
      <c r="AG93" s="9" t="s">
        <v>33</v>
      </c>
      <c r="AH93" s="9"/>
      <c r="AI93" s="9"/>
      <c r="AJ93" s="9" t="s">
        <v>34</v>
      </c>
      <c r="AK93" s="9"/>
      <c r="AL93" s="9"/>
      <c r="AM93" s="257" t="s">
        <v>35</v>
      </c>
      <c r="AN93" s="202"/>
      <c r="AO93" s="9"/>
      <c r="AP93" s="198" t="s">
        <v>22</v>
      </c>
      <c r="AQ93" s="198"/>
      <c r="AR93" s="596"/>
      <c r="AS93" s="596"/>
      <c r="AT93" s="596"/>
      <c r="AU93" s="596"/>
      <c r="AV93" s="596"/>
      <c r="AW93" s="596"/>
      <c r="AX93" s="596"/>
    </row>
    <row r="94" spans="4:50" x14ac:dyDescent="0.3">
      <c r="D94" s="244"/>
      <c r="E94" s="355" t="str">
        <f>IF(OR(M94="",M94=0,J94="",G94=""),"",
(IF(AND(F92=$P$4,M94&lt;=$R$4),$V$4,0)+IF(AND(F92=$P$5,M94&lt;=$R$5),$V$5,0)+IF(AND(F92=$P$6,M94&lt;=$R$6),$V$6,0)+IF(AND(F92=$P$7,M94&lt;=$R$7),$V$7,0))
)</f>
        <v/>
      </c>
      <c r="F94" s="153" t="s">
        <v>302</v>
      </c>
      <c r="G94" s="616"/>
      <c r="H94" s="617"/>
      <c r="I94" s="618"/>
      <c r="J94" s="616"/>
      <c r="K94" s="617"/>
      <c r="L94" s="618"/>
      <c r="M94" s="255"/>
      <c r="N94" s="256"/>
      <c r="O94" s="388"/>
      <c r="P94" s="185">
        <f t="shared" ref="P94" si="63">IF(F92="",0,1)</f>
        <v>0</v>
      </c>
      <c r="R94" s="185" t="str">
        <f t="shared" ref="R94" si="64">E94</f>
        <v/>
      </c>
      <c r="S94" s="185" t="str">
        <f t="shared" ref="S94" si="65">E95</f>
        <v/>
      </c>
      <c r="T94" s="185" t="str">
        <f t="shared" ref="T94" si="66">E96</f>
        <v/>
      </c>
      <c r="U94" s="185" t="str">
        <f t="shared" ref="U94" si="67">E97</f>
        <v/>
      </c>
      <c r="V94" s="185" t="str">
        <f t="shared" ref="V94" si="68">E98</f>
        <v/>
      </c>
      <c r="W94" s="185" t="str">
        <f t="shared" ref="W94" si="69">E99</f>
        <v/>
      </c>
      <c r="X94" s="185" t="str">
        <f t="shared" ref="X94" si="70">E100</f>
        <v/>
      </c>
      <c r="AA94" s="50"/>
      <c r="AD94" s="244"/>
      <c r="AE94" s="355" t="str">
        <f>IF(OR(AM94="",AM94=0,AJ94="",AG94=""),"",
(IF(AND(AF92=$P$4,AM94&lt;=$R$4),$V$4,0)+IF(AND(AF92=$P$5,AM94&lt;=$R$5),$V$5,0)+IF(AND(AF92=$P$6,AM94&lt;=$R$6),$V$6,0)+IF(AND(AF92=$P$7,AM94&lt;=$R$7),$V$7,0))
)</f>
        <v/>
      </c>
      <c r="AF94" s="153" t="s">
        <v>302</v>
      </c>
      <c r="AG94" s="598"/>
      <c r="AH94" s="599"/>
      <c r="AI94" s="600"/>
      <c r="AJ94" s="598"/>
      <c r="AK94" s="599"/>
      <c r="AL94" s="600"/>
      <c r="AM94" s="384"/>
      <c r="AN94" s="256"/>
      <c r="AO94" s="388"/>
      <c r="AP94" s="185">
        <f t="shared" ref="AP94" si="71">IF(AF92="",0,1)</f>
        <v>0</v>
      </c>
      <c r="AR94" s="185" t="str">
        <f t="shared" ref="AR94" si="72">AE94</f>
        <v/>
      </c>
      <c r="AS94" s="185" t="str">
        <f t="shared" ref="AS94" si="73">AE95</f>
        <v/>
      </c>
      <c r="AT94" s="185" t="str">
        <f t="shared" ref="AT94" si="74">AE96</f>
        <v/>
      </c>
      <c r="AU94" s="185" t="str">
        <f t="shared" ref="AU94" si="75">AE97</f>
        <v/>
      </c>
      <c r="AV94" s="185" t="str">
        <f t="shared" ref="AV94" si="76">AE98</f>
        <v/>
      </c>
      <c r="AW94" s="185" t="str">
        <f t="shared" ref="AW94" si="77">AE99</f>
        <v/>
      </c>
      <c r="AX94" s="185" t="str">
        <f t="shared" ref="AX94" si="78">AE100</f>
        <v/>
      </c>
    </row>
    <row r="95" spans="4:50" x14ac:dyDescent="0.3">
      <c r="D95" s="244"/>
      <c r="E95" s="341" t="str">
        <f>IF(OR(M95="",M95=0,J95="",G95=""),"",
(IF(AND(F92=$P$4,M95&lt;=$R$4),$V$4,0)+IF(AND(F92=$P$5,M95&lt;=$R$5),$V$5,0)+IF(AND(F92=$P$6,M95&lt;=$R$6),$V$6,0)+IF(AND(F92=$P$7,M95&lt;=$R$7),$V$7,0))
)</f>
        <v/>
      </c>
      <c r="F95" s="153" t="s">
        <v>303</v>
      </c>
      <c r="G95" s="616"/>
      <c r="H95" s="617"/>
      <c r="I95" s="618"/>
      <c r="J95" s="616"/>
      <c r="K95" s="617"/>
      <c r="L95" s="618"/>
      <c r="M95" s="255"/>
      <c r="N95" s="256"/>
      <c r="O95" s="388"/>
      <c r="AA95" s="50"/>
      <c r="AD95" s="244"/>
      <c r="AE95" s="341" t="str">
        <f>IF(OR(AM95="",AM95=0,AJ95="",AG95=""),"",
(IF(AND(AF92=$P$4,AM95&lt;=$R$4),$V$4,0)+IF(AND(AF92=$P$5,AM95&lt;=$R$5),$V$5,0)+IF(AND(AF92=$P$6,AM95&lt;=$R$6),$V$6,0)+IF(AND(AF92=$P$7,AM95&lt;=$R$7),$V$7,0))
)</f>
        <v/>
      </c>
      <c r="AF95" s="153" t="s">
        <v>303</v>
      </c>
      <c r="AG95" s="598"/>
      <c r="AH95" s="599"/>
      <c r="AI95" s="600"/>
      <c r="AJ95" s="598"/>
      <c r="AK95" s="599"/>
      <c r="AL95" s="600"/>
      <c r="AM95" s="384"/>
      <c r="AN95" s="256"/>
      <c r="AO95" s="388"/>
    </row>
    <row r="96" spans="4:50" x14ac:dyDescent="0.3">
      <c r="D96" s="244"/>
      <c r="E96" s="341" t="str">
        <f>IF(OR(M96="",M96=0,J96="",G96=""),"",
(IF(AND(F92=$P$4,M96&lt;=$R$4),$V$4,0)+IF(AND(F92=$P$5,M96&lt;=$R$5),$V$5,0)+IF(AND(F92=$P$6,M96&lt;=$R$6),$V$6,0)+IF(AND(F92=$P$7,M96&lt;=$R$7),$V$7,0))
)</f>
        <v/>
      </c>
      <c r="F96" s="153" t="s">
        <v>304</v>
      </c>
      <c r="G96" s="616"/>
      <c r="H96" s="617"/>
      <c r="I96" s="618"/>
      <c r="J96" s="616"/>
      <c r="K96" s="617"/>
      <c r="L96" s="618"/>
      <c r="M96" s="255"/>
      <c r="N96" s="256"/>
      <c r="O96" s="388"/>
      <c r="AA96" s="50"/>
      <c r="AD96" s="244"/>
      <c r="AE96" s="341" t="str">
        <f>IF(OR(AM96="",AM96=0,AJ96="",AG96=""),"",
(IF(AND(AF92=$P$4,AM96&lt;=$R$4),$V$4,0)+IF(AND(AF92=$P$5,AM96&lt;=$R$5),$V$5,0)+IF(AND(AF92=$P$6,AM96&lt;=$R$6),$V$6,0)+IF(AND(AF92=$P$7,AM96&lt;=$R$7),$V$7,0))
)</f>
        <v/>
      </c>
      <c r="AF96" s="153" t="s">
        <v>304</v>
      </c>
      <c r="AG96" s="598"/>
      <c r="AH96" s="599"/>
      <c r="AI96" s="600"/>
      <c r="AJ96" s="598"/>
      <c r="AK96" s="599"/>
      <c r="AL96" s="600"/>
      <c r="AM96" s="384"/>
      <c r="AN96" s="256"/>
      <c r="AO96" s="388"/>
    </row>
    <row r="97" spans="4:50" ht="15" customHeight="1" x14ac:dyDescent="0.3">
      <c r="D97" s="244"/>
      <c r="E97" s="341" t="str">
        <f>IF(OR(M97="",M97=0,J97="",G97=""),"",
(IF(AND(F92=$P$4,M97&lt;=$R$4),$V$4,0)+IF(AND(F92=$P$5,M97&lt;=$R$5),$V$5,0)+IF(AND(F92=$P$6,M97&lt;=$R$6),$V$6,0)+IF(AND(F92=$P$7,M97&lt;=$R$7),$V$7,0))
)</f>
        <v/>
      </c>
      <c r="F97" s="153" t="s">
        <v>305</v>
      </c>
      <c r="G97" s="616"/>
      <c r="H97" s="617"/>
      <c r="I97" s="618"/>
      <c r="J97" s="616"/>
      <c r="K97" s="617"/>
      <c r="L97" s="618"/>
      <c r="M97" s="255"/>
      <c r="N97" s="256"/>
      <c r="O97" s="388"/>
      <c r="AA97" s="50"/>
      <c r="AD97" s="244"/>
      <c r="AE97" s="341" t="str">
        <f>IF(OR(AM97="",AM97=0,AJ97="",AG97=""),"",
(IF(AND(AF92=$P$4,AM97&lt;=$R$4),$V$4,0)+IF(AND(AF92=$P$5,AM97&lt;=$R$5),$V$5,0)+IF(AND(AF92=$P$6,AM97&lt;=$R$6),$V$6,0)+IF(AND(AF92=$P$7,AM97&lt;=$R$7),$V$7,0))
)</f>
        <v/>
      </c>
      <c r="AF97" s="153" t="s">
        <v>305</v>
      </c>
      <c r="AG97" s="598"/>
      <c r="AH97" s="599"/>
      <c r="AI97" s="600"/>
      <c r="AJ97" s="598"/>
      <c r="AK97" s="599"/>
      <c r="AL97" s="600"/>
      <c r="AM97" s="384"/>
      <c r="AN97" s="256"/>
      <c r="AO97" s="388"/>
    </row>
    <row r="98" spans="4:50" ht="15" customHeight="1" x14ac:dyDescent="0.3">
      <c r="D98" s="244"/>
      <c r="E98" s="341" t="str">
        <f>IF(OR(M98="",M98=0,J98="",G98=""),"",
(IF(AND(F92=$P$4,M98&lt;=$R$4),$V$4,0)+IF(AND(F92=$P$5,M98&lt;=$R$5),$V$5,0)+IF(AND(F92=$P$6,M98&lt;=$R$6),$V$6,0)+IF(AND(F92=$P$7,M98&lt;=$R$7),$V$7,0))
)</f>
        <v/>
      </c>
      <c r="F98" s="153" t="s">
        <v>306</v>
      </c>
      <c r="G98" s="616"/>
      <c r="H98" s="617"/>
      <c r="I98" s="618"/>
      <c r="J98" s="616"/>
      <c r="K98" s="617"/>
      <c r="L98" s="618"/>
      <c r="M98" s="255"/>
      <c r="N98" s="256"/>
      <c r="O98" s="388"/>
      <c r="AA98" s="50"/>
      <c r="AD98" s="244"/>
      <c r="AE98" s="341" t="str">
        <f>IF(OR(AM98="",AM98=0,AJ98="",AG98=""),"",
(IF(AND(AF92=$P$4,AM98&lt;=$R$4),$V$4,0)+IF(AND(AF92=$P$5,AM98&lt;=$R$5),$V$5,0)+IF(AND(AF92=$P$6,AM98&lt;=$R$6),$V$6,0)+IF(AND(AF92=$P$7,AM98&lt;=$R$7),$V$7,0))
)</f>
        <v/>
      </c>
      <c r="AF98" s="153" t="s">
        <v>306</v>
      </c>
      <c r="AG98" s="598"/>
      <c r="AH98" s="599"/>
      <c r="AI98" s="600"/>
      <c r="AJ98" s="598"/>
      <c r="AK98" s="599"/>
      <c r="AL98" s="600"/>
      <c r="AM98" s="384"/>
      <c r="AN98" s="256"/>
      <c r="AO98" s="388"/>
    </row>
    <row r="99" spans="4:50" ht="15" customHeight="1" x14ac:dyDescent="0.3">
      <c r="D99" s="244"/>
      <c r="E99" s="341" t="str">
        <f>IF(OR(M99="",M99=0,J99="",G99=""),"",
(IF(AND(F92=$P$4,M99&lt;=$R$4),$V$4,0)+IF(AND(F92=$P$5,M99&lt;=$R$5),$V$5,0)+IF(AND(F92=$P$6,M99&lt;=$R$6),$V$6,0)+IF(AND(F92=$P$7,M99&lt;=$R$7),$V$7,0))
)</f>
        <v/>
      </c>
      <c r="F99" s="153" t="s">
        <v>307</v>
      </c>
      <c r="G99" s="616"/>
      <c r="H99" s="617"/>
      <c r="I99" s="618"/>
      <c r="J99" s="616"/>
      <c r="K99" s="617"/>
      <c r="L99" s="618"/>
      <c r="M99" s="255"/>
      <c r="N99" s="256"/>
      <c r="O99" s="388"/>
      <c r="AA99" s="50"/>
      <c r="AD99" s="244"/>
      <c r="AE99" s="341" t="str">
        <f>IF(OR(AM99="",AM99=0,AJ99="",AG99=""),"",
(IF(AND(AF92=$P$4,AM99&lt;=$R$4),$V$4,0)+IF(AND(AF92=$P$5,AM99&lt;=$R$5),$V$5,0)+IF(AND(AF92=$P$6,AM99&lt;=$R$6),$V$6,0)+IF(AND(AF92=$P$7,AM99&lt;=$R$7),$V$7,0))
)</f>
        <v/>
      </c>
      <c r="AF99" s="153" t="s">
        <v>307</v>
      </c>
      <c r="AG99" s="598"/>
      <c r="AH99" s="599"/>
      <c r="AI99" s="600"/>
      <c r="AJ99" s="598"/>
      <c r="AK99" s="599"/>
      <c r="AL99" s="600"/>
      <c r="AM99" s="384"/>
      <c r="AN99" s="256"/>
      <c r="AO99" s="388"/>
    </row>
    <row r="100" spans="4:50" ht="15" customHeight="1" x14ac:dyDescent="0.3">
      <c r="D100" s="244"/>
      <c r="E100" s="341" t="str">
        <f>IF(OR(M100="",M100=0,J100="",G100=""),"",
(IF(AND(F92=$P$4,M100&lt;=$R$4),$V$4,0)+IF(AND(F92=$P$5,M100&lt;=$R$5),$V$5,0)+IF(AND(F92=$P$6,M100&lt;=$R$6),$V$6,0)+IF(AND(F92=$P$7,M100&lt;=$R$7),$V$7,0))
)</f>
        <v/>
      </c>
      <c r="F100" s="153" t="s">
        <v>308</v>
      </c>
      <c r="G100" s="616"/>
      <c r="H100" s="617"/>
      <c r="I100" s="618"/>
      <c r="J100" s="616"/>
      <c r="K100" s="617"/>
      <c r="L100" s="618"/>
      <c r="M100" s="255"/>
      <c r="N100" s="256"/>
      <c r="O100" s="388"/>
      <c r="AA100" s="50"/>
      <c r="AD100" s="244"/>
      <c r="AE100" s="341" t="str">
        <f>IF(OR(AM100="",AM100=0,AJ100="",AG100=""),"",
(IF(AND(AF92=$P$4,AM100&lt;=$R$4),$V$4,0)+IF(AND(AF92=$P$5,AM100&lt;=$R$5),$V$5,0)+IF(AND(AF92=$P$6,AM100&lt;=$R$6),$V$6,0)+IF(AND(AF92=$P$7,AM100&lt;=$R$7),$V$7,0))
)</f>
        <v/>
      </c>
      <c r="AF100" s="153" t="s">
        <v>308</v>
      </c>
      <c r="AG100" s="598"/>
      <c r="AH100" s="599"/>
      <c r="AI100" s="600"/>
      <c r="AJ100" s="598"/>
      <c r="AK100" s="599"/>
      <c r="AL100" s="600"/>
      <c r="AM100" s="384"/>
      <c r="AN100" s="256"/>
      <c r="AO100" s="388"/>
    </row>
    <row r="101" spans="4:50" ht="15" customHeight="1" thickBot="1" x14ac:dyDescent="0.35">
      <c r="D101" s="203"/>
      <c r="E101" s="3"/>
      <c r="F101" s="3"/>
      <c r="G101" s="3"/>
      <c r="H101" s="3"/>
      <c r="I101" s="3"/>
      <c r="J101" s="3"/>
      <c r="K101" s="3"/>
      <c r="L101" s="3"/>
      <c r="M101" s="3"/>
      <c r="N101" s="204"/>
      <c r="P101" s="2"/>
      <c r="AA101" s="50"/>
      <c r="AD101" s="203"/>
      <c r="AE101" s="3"/>
      <c r="AF101" s="3"/>
      <c r="AG101" s="3"/>
      <c r="AH101" s="3"/>
      <c r="AI101" s="3"/>
      <c r="AJ101" s="3"/>
      <c r="AK101" s="3"/>
      <c r="AL101" s="3"/>
      <c r="AM101" s="3"/>
      <c r="AN101" s="204"/>
      <c r="AP101" s="2"/>
    </row>
    <row r="102" spans="4:50" ht="15" customHeight="1" x14ac:dyDescent="0.3">
      <c r="D102" s="601" t="str">
        <f>IF(
OR(
OR(F104=$P$4,F104=$P$5,F104=$P$6,F104=$P$7),AND(G106="",G107="",G108="",G109="",G110="",G111="",G112="",J106="",J107="",J108="",J109="",J110="",J111="",J112="",M106="",M107="",M108="",M109="",M110="",M111="",M112="",K103="",K104="")
),
"",
"A Set-Aside must be selected."
)</f>
        <v/>
      </c>
      <c r="E102" s="602"/>
      <c r="F102" s="602"/>
      <c r="G102" s="602"/>
      <c r="H102" s="602"/>
      <c r="I102" s="602"/>
      <c r="J102" s="602"/>
      <c r="K102" s="602"/>
      <c r="L102" s="602"/>
      <c r="M102" s="602"/>
      <c r="N102" s="603"/>
      <c r="O102" s="2"/>
      <c r="AA102" s="50"/>
      <c r="AD102" s="601" t="str">
        <f>IF(
OR(
OR(AF104=$P$4,AF104=$P$5,AF104=$P$6,AF104=$P$7),AND(AG106="",AG107="",AG108="",AG109="",AG110="",AG111="",AG112="",AJ106="",AJ107="",AJ108="",AJ109="",AJ110="",AJ111="",AJ112="",AM106="",AM107="",AM108="",AM109="",AM110="",AM111="",AM112="",AK103="",AK104="")
),
"",
"A Set-Aside must be selected."
)</f>
        <v/>
      </c>
      <c r="AE102" s="602"/>
      <c r="AF102" s="602"/>
      <c r="AG102" s="602"/>
      <c r="AH102" s="602"/>
      <c r="AI102" s="602"/>
      <c r="AJ102" s="602"/>
      <c r="AK102" s="602"/>
      <c r="AL102" s="602"/>
      <c r="AM102" s="602"/>
      <c r="AN102" s="603"/>
      <c r="AO102" s="2"/>
    </row>
    <row r="103" spans="4:50" ht="15" customHeight="1" x14ac:dyDescent="0.3">
      <c r="D103" s="199"/>
      <c r="E103" s="9" t="s">
        <v>30</v>
      </c>
      <c r="F103" s="86">
        <f>F91+1</f>
        <v>6</v>
      </c>
      <c r="G103" s="9" t="s">
        <v>175</v>
      </c>
      <c r="H103" s="9"/>
      <c r="I103" s="9"/>
      <c r="J103" s="168" t="s">
        <v>111</v>
      </c>
      <c r="K103" s="148"/>
      <c r="N103" s="200"/>
      <c r="R103" s="596" t="s">
        <v>302</v>
      </c>
      <c r="S103" s="596" t="s">
        <v>303</v>
      </c>
      <c r="T103" s="596" t="s">
        <v>304</v>
      </c>
      <c r="U103" s="596" t="s">
        <v>305</v>
      </c>
      <c r="V103" s="596" t="s">
        <v>306</v>
      </c>
      <c r="W103" s="596" t="s">
        <v>307</v>
      </c>
      <c r="X103" s="596" t="s">
        <v>308</v>
      </c>
      <c r="AA103" s="50"/>
      <c r="AD103" s="199"/>
      <c r="AE103" s="9" t="s">
        <v>30</v>
      </c>
      <c r="AF103" s="86">
        <f>AF91+1</f>
        <v>6</v>
      </c>
      <c r="AG103" s="9" t="s">
        <v>175</v>
      </c>
      <c r="AH103" s="9"/>
      <c r="AI103" s="9"/>
      <c r="AJ103" s="168" t="s">
        <v>111</v>
      </c>
      <c r="AK103" s="382"/>
      <c r="AN103" s="200"/>
      <c r="AR103" s="596" t="s">
        <v>302</v>
      </c>
      <c r="AS103" s="596" t="s">
        <v>303</v>
      </c>
      <c r="AT103" s="596" t="s">
        <v>304</v>
      </c>
      <c r="AU103" s="596" t="s">
        <v>305</v>
      </c>
      <c r="AV103" s="596" t="s">
        <v>306</v>
      </c>
      <c r="AW103" s="596" t="s">
        <v>307</v>
      </c>
      <c r="AX103" s="596" t="s">
        <v>308</v>
      </c>
    </row>
    <row r="104" spans="4:50" ht="15" customHeight="1" x14ac:dyDescent="0.3">
      <c r="D104" s="604" t="s">
        <v>31</v>
      </c>
      <c r="E104" s="594"/>
      <c r="F104" s="151"/>
      <c r="G104" s="86" t="str">
        <f>IF(F104=$P$4,$Q$4,IF(F104=$P$5,$Q$5,IF(F104=$P$6,$Q$6,IF(F104=$P$7,Q$7,IF(F104=$P$8,"","")))))</f>
        <v/>
      </c>
      <c r="H104" s="201"/>
      <c r="I104" s="201"/>
      <c r="J104" s="168" t="s">
        <v>112</v>
      </c>
      <c r="K104" s="148"/>
      <c r="N104" s="200"/>
      <c r="R104" s="596"/>
      <c r="S104" s="596"/>
      <c r="T104" s="596"/>
      <c r="U104" s="596"/>
      <c r="V104" s="596"/>
      <c r="W104" s="596"/>
      <c r="X104" s="596"/>
      <c r="AA104" s="50"/>
      <c r="AD104" s="604" t="s">
        <v>31</v>
      </c>
      <c r="AE104" s="594"/>
      <c r="AF104" s="383"/>
      <c r="AG104" s="86" t="str">
        <f>IF(AF104=$P$4,$Q$4,IF(AF104=$P$5,$Q$5,IF(AF104=$P$6,$Q$6,IF(AF104=$P$7,AQ$7,IF(AF104=$P$8,"","")))))</f>
        <v/>
      </c>
      <c r="AH104" s="201"/>
      <c r="AI104" s="201"/>
      <c r="AJ104" s="168" t="s">
        <v>112</v>
      </c>
      <c r="AK104" s="382"/>
      <c r="AN104" s="200"/>
      <c r="AR104" s="596"/>
      <c r="AS104" s="596"/>
      <c r="AT104" s="596"/>
      <c r="AU104" s="596"/>
      <c r="AV104" s="596"/>
      <c r="AW104" s="596"/>
      <c r="AX104" s="596"/>
    </row>
    <row r="105" spans="4:50" x14ac:dyDescent="0.3">
      <c r="D105" s="244"/>
      <c r="E105" s="230" t="s">
        <v>52</v>
      </c>
      <c r="F105" s="9" t="s">
        <v>32</v>
      </c>
      <c r="G105" s="9" t="s">
        <v>33</v>
      </c>
      <c r="H105" s="9"/>
      <c r="I105" s="9"/>
      <c r="J105" s="9" t="s">
        <v>34</v>
      </c>
      <c r="K105" s="9"/>
      <c r="L105" s="9"/>
      <c r="M105" s="257" t="s">
        <v>35</v>
      </c>
      <c r="N105" s="202"/>
      <c r="O105" s="9"/>
      <c r="P105" s="198" t="s">
        <v>22</v>
      </c>
      <c r="Q105" s="198"/>
      <c r="R105" s="596"/>
      <c r="S105" s="596"/>
      <c r="T105" s="596"/>
      <c r="U105" s="596"/>
      <c r="V105" s="596"/>
      <c r="W105" s="596"/>
      <c r="X105" s="596"/>
      <c r="AA105" s="50"/>
      <c r="AD105" s="244"/>
      <c r="AE105" s="230" t="s">
        <v>52</v>
      </c>
      <c r="AF105" s="9" t="s">
        <v>32</v>
      </c>
      <c r="AG105" s="9" t="s">
        <v>33</v>
      </c>
      <c r="AH105" s="9"/>
      <c r="AI105" s="9"/>
      <c r="AJ105" s="9" t="s">
        <v>34</v>
      </c>
      <c r="AK105" s="9"/>
      <c r="AL105" s="9"/>
      <c r="AM105" s="257" t="s">
        <v>35</v>
      </c>
      <c r="AN105" s="202"/>
      <c r="AO105" s="9"/>
      <c r="AP105" s="198" t="s">
        <v>22</v>
      </c>
      <c r="AQ105" s="198"/>
      <c r="AR105" s="596"/>
      <c r="AS105" s="596"/>
      <c r="AT105" s="596"/>
      <c r="AU105" s="596"/>
      <c r="AV105" s="596"/>
      <c r="AW105" s="596"/>
      <c r="AX105" s="596"/>
    </row>
    <row r="106" spans="4:50" x14ac:dyDescent="0.3">
      <c r="D106" s="244"/>
      <c r="E106" s="355" t="str">
        <f>IF(OR(M106="",M106=0,J106="",G106=""),"",
(IF(AND(F104=$P$4,M106&lt;=$R$4),$V$4,0)+IF(AND(F104=$P$5,M106&lt;=$R$5),$V$5,0)+IF(AND(F104=$P$6,M106&lt;=$R$6),$V$6,0)+IF(AND(F104=$P$7,M106&lt;=$R$7),$V$7,0))
)</f>
        <v/>
      </c>
      <c r="F106" s="153" t="s">
        <v>302</v>
      </c>
      <c r="G106" s="616"/>
      <c r="H106" s="617"/>
      <c r="I106" s="618"/>
      <c r="J106" s="616"/>
      <c r="K106" s="617"/>
      <c r="L106" s="618"/>
      <c r="M106" s="255"/>
      <c r="N106" s="256"/>
      <c r="O106" s="388"/>
      <c r="P106" s="185">
        <f t="shared" ref="P106" si="79">IF(F104="",0,1)</f>
        <v>0</v>
      </c>
      <c r="R106" s="185" t="str">
        <f t="shared" ref="R106" si="80">E106</f>
        <v/>
      </c>
      <c r="S106" s="185" t="str">
        <f t="shared" ref="S106" si="81">E107</f>
        <v/>
      </c>
      <c r="T106" s="185" t="str">
        <f t="shared" ref="T106" si="82">E108</f>
        <v/>
      </c>
      <c r="U106" s="185" t="str">
        <f t="shared" ref="U106" si="83">E109</f>
        <v/>
      </c>
      <c r="V106" s="185" t="str">
        <f t="shared" ref="V106" si="84">E110</f>
        <v/>
      </c>
      <c r="W106" s="185" t="str">
        <f t="shared" ref="W106" si="85">E111</f>
        <v/>
      </c>
      <c r="X106" s="185" t="str">
        <f t="shared" ref="X106" si="86">E112</f>
        <v/>
      </c>
      <c r="AA106" s="50"/>
      <c r="AD106" s="244"/>
      <c r="AE106" s="355" t="str">
        <f>IF(OR(AM106="",AM106=0,AJ106="",AG106=""),"",
(IF(AND(AF104=$P$4,AM106&lt;=$R$4),$V$4,0)+IF(AND(AF104=$P$5,AM106&lt;=$R$5),$V$5,0)+IF(AND(AF104=$P$6,AM106&lt;=$R$6),$V$6,0)+IF(AND(AF104=$P$7,AM106&lt;=$R$7),$V$7,0))
)</f>
        <v/>
      </c>
      <c r="AF106" s="153" t="s">
        <v>302</v>
      </c>
      <c r="AG106" s="598"/>
      <c r="AH106" s="599"/>
      <c r="AI106" s="600"/>
      <c r="AJ106" s="598"/>
      <c r="AK106" s="599"/>
      <c r="AL106" s="600"/>
      <c r="AM106" s="384"/>
      <c r="AN106" s="256"/>
      <c r="AO106" s="388"/>
      <c r="AP106" s="185">
        <f t="shared" ref="AP106" si="87">IF(AF104="",0,1)</f>
        <v>0</v>
      </c>
      <c r="AR106" s="185" t="str">
        <f t="shared" ref="AR106" si="88">AE106</f>
        <v/>
      </c>
      <c r="AS106" s="185" t="str">
        <f t="shared" ref="AS106" si="89">AE107</f>
        <v/>
      </c>
      <c r="AT106" s="185" t="str">
        <f t="shared" ref="AT106" si="90">AE108</f>
        <v/>
      </c>
      <c r="AU106" s="185" t="str">
        <f t="shared" ref="AU106" si="91">AE109</f>
        <v/>
      </c>
      <c r="AV106" s="185" t="str">
        <f t="shared" ref="AV106" si="92">AE110</f>
        <v/>
      </c>
      <c r="AW106" s="185" t="str">
        <f t="shared" ref="AW106" si="93">AE111</f>
        <v/>
      </c>
      <c r="AX106" s="185" t="str">
        <f t="shared" ref="AX106" si="94">AE112</f>
        <v/>
      </c>
    </row>
    <row r="107" spans="4:50" x14ac:dyDescent="0.3">
      <c r="D107" s="244"/>
      <c r="E107" s="341" t="str">
        <f>IF(OR(M107="",M107=0,J107="",G107=""),"",
(IF(AND(F104=$P$4,M107&lt;=$R$4),$V$4,0)+IF(AND(F104=$P$5,M107&lt;=$R$5),$V$5,0)+IF(AND(F104=$P$6,M107&lt;=$R$6),$V$6,0)+IF(AND(F104=$P$7,M107&lt;=$R$7),$V$7,0))
)</f>
        <v/>
      </c>
      <c r="F107" s="153" t="s">
        <v>303</v>
      </c>
      <c r="G107" s="616"/>
      <c r="H107" s="617"/>
      <c r="I107" s="618"/>
      <c r="J107" s="616"/>
      <c r="K107" s="617"/>
      <c r="L107" s="618"/>
      <c r="M107" s="255"/>
      <c r="N107" s="256"/>
      <c r="O107" s="388"/>
      <c r="AA107" s="50"/>
      <c r="AD107" s="244"/>
      <c r="AE107" s="341" t="str">
        <f>IF(OR(AM107="",AM107=0,AJ107="",AG107=""),"",
(IF(AND(AF104=$P$4,AM107&lt;=$R$4),$V$4,0)+IF(AND(AF104=$P$5,AM107&lt;=$R$5),$V$5,0)+IF(AND(AF104=$P$6,AM107&lt;=$R$6),$V$6,0)+IF(AND(AF104=$P$7,AM107&lt;=$R$7),$V$7,0))
)</f>
        <v/>
      </c>
      <c r="AF107" s="153" t="s">
        <v>303</v>
      </c>
      <c r="AG107" s="598"/>
      <c r="AH107" s="599"/>
      <c r="AI107" s="600"/>
      <c r="AJ107" s="598"/>
      <c r="AK107" s="599"/>
      <c r="AL107" s="600"/>
      <c r="AM107" s="384"/>
      <c r="AN107" s="256"/>
      <c r="AO107" s="388"/>
    </row>
    <row r="108" spans="4:50" x14ac:dyDescent="0.3">
      <c r="D108" s="244"/>
      <c r="E108" s="341" t="str">
        <f>IF(OR(M108="",M108=0,J108="",G108=""),"",
(IF(AND(F104=$P$4,M108&lt;=$R$4),$V$4,0)+IF(AND(F104=$P$5,M108&lt;=$R$5),$V$5,0)+IF(AND(F104=$P$6,M108&lt;=$R$6),$V$6,0)+IF(AND(F104=$P$7,M108&lt;=$R$7),$V$7,0))
)</f>
        <v/>
      </c>
      <c r="F108" s="153" t="s">
        <v>304</v>
      </c>
      <c r="G108" s="616"/>
      <c r="H108" s="617"/>
      <c r="I108" s="618"/>
      <c r="J108" s="616"/>
      <c r="K108" s="617"/>
      <c r="L108" s="618"/>
      <c r="M108" s="255"/>
      <c r="N108" s="256"/>
      <c r="O108" s="388"/>
      <c r="AA108" s="50"/>
      <c r="AD108" s="244"/>
      <c r="AE108" s="341" t="str">
        <f>IF(OR(AM108="",AM108=0,AJ108="",AG108=""),"",
(IF(AND(AF104=$P$4,AM108&lt;=$R$4),$V$4,0)+IF(AND(AF104=$P$5,AM108&lt;=$R$5),$V$5,0)+IF(AND(AF104=$P$6,AM108&lt;=$R$6),$V$6,0)+IF(AND(AF104=$P$7,AM108&lt;=$R$7),$V$7,0))
)</f>
        <v/>
      </c>
      <c r="AF108" s="153" t="s">
        <v>304</v>
      </c>
      <c r="AG108" s="598"/>
      <c r="AH108" s="599"/>
      <c r="AI108" s="600"/>
      <c r="AJ108" s="598"/>
      <c r="AK108" s="599"/>
      <c r="AL108" s="600"/>
      <c r="AM108" s="384"/>
      <c r="AN108" s="256"/>
      <c r="AO108" s="388"/>
    </row>
    <row r="109" spans="4:50" x14ac:dyDescent="0.3">
      <c r="D109" s="244"/>
      <c r="E109" s="341" t="str">
        <f>IF(OR(M109="",M109=0,J109="",G109=""),"",
(IF(AND(F104=$P$4,M109&lt;=$R$4),$V$4,0)+IF(AND(F104=$P$5,M109&lt;=$R$5),$V$5,0)+IF(AND(F104=$P$6,M109&lt;=$R$6),$V$6,0)+IF(AND(F104=$P$7,M109&lt;=$R$7),$V$7,0))
)</f>
        <v/>
      </c>
      <c r="F109" s="153" t="s">
        <v>305</v>
      </c>
      <c r="G109" s="616"/>
      <c r="H109" s="617"/>
      <c r="I109" s="618"/>
      <c r="J109" s="616"/>
      <c r="K109" s="617"/>
      <c r="L109" s="618"/>
      <c r="M109" s="255"/>
      <c r="N109" s="256"/>
      <c r="O109" s="388"/>
      <c r="AA109" s="50"/>
      <c r="AD109" s="244"/>
      <c r="AE109" s="341" t="str">
        <f>IF(OR(AM109="",AM109=0,AJ109="",AG109=""),"",
(IF(AND(AF104=$P$4,AM109&lt;=$R$4),$V$4,0)+IF(AND(AF104=$P$5,AM109&lt;=$R$5),$V$5,0)+IF(AND(AF104=$P$6,AM109&lt;=$R$6),$V$6,0)+IF(AND(AF104=$P$7,AM109&lt;=$R$7),$V$7,0))
)</f>
        <v/>
      </c>
      <c r="AF109" s="153" t="s">
        <v>305</v>
      </c>
      <c r="AG109" s="598"/>
      <c r="AH109" s="599"/>
      <c r="AI109" s="600"/>
      <c r="AJ109" s="598"/>
      <c r="AK109" s="599"/>
      <c r="AL109" s="600"/>
      <c r="AM109" s="384"/>
      <c r="AN109" s="256"/>
      <c r="AO109" s="388"/>
    </row>
    <row r="110" spans="4:50" ht="15" customHeight="1" x14ac:dyDescent="0.3">
      <c r="D110" s="244"/>
      <c r="E110" s="341" t="str">
        <f>IF(OR(M110="",M110=0,J110="",G110=""),"",
(IF(AND(F104=$P$4,M110&lt;=$R$4),$V$4,0)+IF(AND(F104=$P$5,M110&lt;=$R$5),$V$5,0)+IF(AND(F104=$P$6,M110&lt;=$R$6),$V$6,0)+IF(AND(F104=$P$7,M110&lt;=$R$7),$V$7,0))
)</f>
        <v/>
      </c>
      <c r="F110" s="153" t="s">
        <v>306</v>
      </c>
      <c r="G110" s="616"/>
      <c r="H110" s="617"/>
      <c r="I110" s="618"/>
      <c r="J110" s="616"/>
      <c r="K110" s="617"/>
      <c r="L110" s="618"/>
      <c r="M110" s="255"/>
      <c r="N110" s="256"/>
      <c r="O110" s="388"/>
      <c r="AA110" s="50"/>
      <c r="AD110" s="244"/>
      <c r="AE110" s="341" t="str">
        <f>IF(OR(AM110="",AM110=0,AJ110="",AG110=""),"",
(IF(AND(AF104=$P$4,AM110&lt;=$R$4),$V$4,0)+IF(AND(AF104=$P$5,AM110&lt;=$R$5),$V$5,0)+IF(AND(AF104=$P$6,AM110&lt;=$R$6),$V$6,0)+IF(AND(AF104=$P$7,AM110&lt;=$R$7),$V$7,0))
)</f>
        <v/>
      </c>
      <c r="AF110" s="153" t="s">
        <v>306</v>
      </c>
      <c r="AG110" s="598"/>
      <c r="AH110" s="599"/>
      <c r="AI110" s="600"/>
      <c r="AJ110" s="598"/>
      <c r="AK110" s="599"/>
      <c r="AL110" s="600"/>
      <c r="AM110" s="384"/>
      <c r="AN110" s="256"/>
      <c r="AO110" s="388"/>
    </row>
    <row r="111" spans="4:50" ht="15" customHeight="1" x14ac:dyDescent="0.3">
      <c r="D111" s="244"/>
      <c r="E111" s="341" t="str">
        <f>IF(OR(M111="",M111=0,J111="",G111=""),"",
(IF(AND(F104=$P$4,M111&lt;=$R$4),$V$4,0)+IF(AND(F104=$P$5,M111&lt;=$R$5),$V$5,0)+IF(AND(F104=$P$6,M111&lt;=$R$6),$V$6,0)+IF(AND(F104=$P$7,M111&lt;=$R$7),$V$7,0))
)</f>
        <v/>
      </c>
      <c r="F111" s="153" t="s">
        <v>307</v>
      </c>
      <c r="G111" s="616"/>
      <c r="H111" s="617"/>
      <c r="I111" s="618"/>
      <c r="J111" s="616"/>
      <c r="K111" s="617"/>
      <c r="L111" s="618"/>
      <c r="M111" s="255"/>
      <c r="N111" s="256"/>
      <c r="O111" s="388"/>
      <c r="AA111" s="50"/>
      <c r="AD111" s="244"/>
      <c r="AE111" s="341" t="str">
        <f>IF(OR(AM111="",AM111=0,AJ111="",AG111=""),"",
(IF(AND(AF104=$P$4,AM111&lt;=$R$4),$V$4,0)+IF(AND(AF104=$P$5,AM111&lt;=$R$5),$V$5,0)+IF(AND(AF104=$P$6,AM111&lt;=$R$6),$V$6,0)+IF(AND(AF104=$P$7,AM111&lt;=$R$7),$V$7,0))
)</f>
        <v/>
      </c>
      <c r="AF111" s="153" t="s">
        <v>307</v>
      </c>
      <c r="AG111" s="598"/>
      <c r="AH111" s="599"/>
      <c r="AI111" s="600"/>
      <c r="AJ111" s="598"/>
      <c r="AK111" s="599"/>
      <c r="AL111" s="600"/>
      <c r="AM111" s="384"/>
      <c r="AN111" s="256"/>
      <c r="AO111" s="388"/>
    </row>
    <row r="112" spans="4:50" ht="15" customHeight="1" x14ac:dyDescent="0.3">
      <c r="D112" s="244"/>
      <c r="E112" s="341" t="str">
        <f>IF(OR(M112="",M112=0,J112="",G112=""),"",
(IF(AND(F104=$P$4,M112&lt;=$R$4),$V$4,0)+IF(AND(F104=$P$5,M112&lt;=$R$5),$V$5,0)+IF(AND(F104=$P$6,M112&lt;=$R$6),$V$6,0)+IF(AND(F104=$P$7,M112&lt;=$R$7),$V$7,0))
)</f>
        <v/>
      </c>
      <c r="F112" s="153" t="s">
        <v>308</v>
      </c>
      <c r="G112" s="616"/>
      <c r="H112" s="617"/>
      <c r="I112" s="618"/>
      <c r="J112" s="616"/>
      <c r="K112" s="617"/>
      <c r="L112" s="618"/>
      <c r="M112" s="255"/>
      <c r="N112" s="256"/>
      <c r="O112" s="388"/>
      <c r="AA112" s="50"/>
      <c r="AD112" s="244"/>
      <c r="AE112" s="341" t="str">
        <f>IF(OR(AM112="",AM112=0,AJ112="",AG112=""),"",
(IF(AND(AF104=$P$4,AM112&lt;=$R$4),$V$4,0)+IF(AND(AF104=$P$5,AM112&lt;=$R$5),$V$5,0)+IF(AND(AF104=$P$6,AM112&lt;=$R$6),$V$6,0)+IF(AND(AF104=$P$7,AM112&lt;=$R$7),$V$7,0))
)</f>
        <v/>
      </c>
      <c r="AF112" s="153" t="s">
        <v>308</v>
      </c>
      <c r="AG112" s="598"/>
      <c r="AH112" s="599"/>
      <c r="AI112" s="600"/>
      <c r="AJ112" s="598"/>
      <c r="AK112" s="599"/>
      <c r="AL112" s="600"/>
      <c r="AM112" s="384"/>
      <c r="AN112" s="256"/>
      <c r="AO112" s="388"/>
    </row>
    <row r="113" spans="4:50" ht="15" customHeight="1" thickBot="1" x14ac:dyDescent="0.35">
      <c r="D113" s="203"/>
      <c r="E113" s="3"/>
      <c r="F113" s="3"/>
      <c r="G113" s="3"/>
      <c r="H113" s="3"/>
      <c r="I113" s="3"/>
      <c r="J113" s="3"/>
      <c r="K113" s="3"/>
      <c r="L113" s="3"/>
      <c r="M113" s="3"/>
      <c r="N113" s="204"/>
      <c r="P113" s="2"/>
      <c r="AA113" s="50"/>
      <c r="AD113" s="203"/>
      <c r="AE113" s="3"/>
      <c r="AF113" s="3"/>
      <c r="AG113" s="3"/>
      <c r="AH113" s="3"/>
      <c r="AI113" s="3"/>
      <c r="AJ113" s="3"/>
      <c r="AK113" s="3"/>
      <c r="AL113" s="3"/>
      <c r="AM113" s="3"/>
      <c r="AN113" s="204"/>
      <c r="AP113" s="2"/>
    </row>
    <row r="114" spans="4:50" ht="15" customHeight="1" x14ac:dyDescent="0.3">
      <c r="D114" s="601" t="str">
        <f>IF(
OR(
OR(F116=$P$4,F116=$P$5,F116=$P$6,F116=$P$7),AND(G118="",G119="",G120="",G121="",G122="",G123="",G124="",J118="",J119="",J120="",J121="",J122="",J123="",J124="",M118="",M119="",M120="",M121="",M122="",M123="",M124="",K115="",K116="")
),
"",
"A Set-Aside must be selected."
)</f>
        <v/>
      </c>
      <c r="E114" s="602"/>
      <c r="F114" s="602"/>
      <c r="G114" s="602"/>
      <c r="H114" s="602"/>
      <c r="I114" s="602"/>
      <c r="J114" s="602"/>
      <c r="K114" s="602"/>
      <c r="L114" s="602"/>
      <c r="M114" s="602"/>
      <c r="N114" s="603"/>
      <c r="O114" s="2"/>
      <c r="AA114" s="50"/>
      <c r="AD114" s="601" t="str">
        <f>IF(
OR(
OR(AF116=$P$4,AF116=$P$5,AF116=$P$6,AF116=$P$7),AND(AG118="",AG119="",AG120="",AG121="",AG122="",AG123="",AG124="",AJ118="",AJ119="",AJ120="",AJ121="",AJ122="",AJ123="",AJ124="",AM118="",AM119="",AM120="",AM121="",AM122="",AM123="",AM124="",AK115="",AK116="")
),
"",
"A Set-Aside must be selected."
)</f>
        <v/>
      </c>
      <c r="AE114" s="602"/>
      <c r="AF114" s="602"/>
      <c r="AG114" s="602"/>
      <c r="AH114" s="602"/>
      <c r="AI114" s="602"/>
      <c r="AJ114" s="602"/>
      <c r="AK114" s="602"/>
      <c r="AL114" s="602"/>
      <c r="AM114" s="602"/>
      <c r="AN114" s="603"/>
      <c r="AO114" s="2"/>
    </row>
    <row r="115" spans="4:50" ht="15" customHeight="1" x14ac:dyDescent="0.3">
      <c r="D115" s="199"/>
      <c r="E115" s="9" t="s">
        <v>30</v>
      </c>
      <c r="F115" s="86">
        <f>F103+1</f>
        <v>7</v>
      </c>
      <c r="G115" s="9" t="s">
        <v>175</v>
      </c>
      <c r="H115" s="9"/>
      <c r="I115" s="9"/>
      <c r="J115" s="168" t="s">
        <v>111</v>
      </c>
      <c r="K115" s="148"/>
      <c r="N115" s="200"/>
      <c r="R115" s="596" t="s">
        <v>302</v>
      </c>
      <c r="S115" s="596" t="s">
        <v>303</v>
      </c>
      <c r="T115" s="596" t="s">
        <v>304</v>
      </c>
      <c r="U115" s="596" t="s">
        <v>305</v>
      </c>
      <c r="V115" s="596" t="s">
        <v>306</v>
      </c>
      <c r="W115" s="596" t="s">
        <v>307</v>
      </c>
      <c r="X115" s="596" t="s">
        <v>308</v>
      </c>
      <c r="AA115" s="50"/>
      <c r="AD115" s="199"/>
      <c r="AE115" s="9" t="s">
        <v>30</v>
      </c>
      <c r="AF115" s="86">
        <f>AF103+1</f>
        <v>7</v>
      </c>
      <c r="AG115" s="9" t="s">
        <v>175</v>
      </c>
      <c r="AH115" s="9"/>
      <c r="AI115" s="9"/>
      <c r="AJ115" s="168" t="s">
        <v>111</v>
      </c>
      <c r="AK115" s="382"/>
      <c r="AN115" s="200"/>
      <c r="AR115" s="596" t="s">
        <v>302</v>
      </c>
      <c r="AS115" s="596" t="s">
        <v>303</v>
      </c>
      <c r="AT115" s="596" t="s">
        <v>304</v>
      </c>
      <c r="AU115" s="596" t="s">
        <v>305</v>
      </c>
      <c r="AV115" s="596" t="s">
        <v>306</v>
      </c>
      <c r="AW115" s="596" t="s">
        <v>307</v>
      </c>
      <c r="AX115" s="596" t="s">
        <v>308</v>
      </c>
    </row>
    <row r="116" spans="4:50" ht="15" customHeight="1" x14ac:dyDescent="0.3">
      <c r="D116" s="604" t="s">
        <v>31</v>
      </c>
      <c r="E116" s="594"/>
      <c r="F116" s="151"/>
      <c r="G116" s="86" t="str">
        <f>IF(F116=$P$4,$Q$4,IF(F116=$P$5,$Q$5,IF(F116=$P$6,$Q$6,IF(F116=$P$7,Q$7,IF(F116=$P$8,"","")))))</f>
        <v/>
      </c>
      <c r="H116" s="201"/>
      <c r="I116" s="201"/>
      <c r="J116" s="168" t="s">
        <v>112</v>
      </c>
      <c r="K116" s="148"/>
      <c r="N116" s="200"/>
      <c r="R116" s="596"/>
      <c r="S116" s="596"/>
      <c r="T116" s="596"/>
      <c r="U116" s="596"/>
      <c r="V116" s="596"/>
      <c r="W116" s="596"/>
      <c r="X116" s="596"/>
      <c r="AA116" s="50"/>
      <c r="AD116" s="604" t="s">
        <v>31</v>
      </c>
      <c r="AE116" s="594"/>
      <c r="AF116" s="383"/>
      <c r="AG116" s="86" t="str">
        <f>IF(AF116=$P$4,$Q$4,IF(AF116=$P$5,$Q$5,IF(AF116=$P$6,$Q$6,IF(AF116=$P$7,AQ$7,IF(AF116=$P$8,"","")))))</f>
        <v/>
      </c>
      <c r="AH116" s="201"/>
      <c r="AI116" s="201"/>
      <c r="AJ116" s="168" t="s">
        <v>112</v>
      </c>
      <c r="AK116" s="382"/>
      <c r="AN116" s="200"/>
      <c r="AR116" s="596"/>
      <c r="AS116" s="596"/>
      <c r="AT116" s="596"/>
      <c r="AU116" s="596"/>
      <c r="AV116" s="596"/>
      <c r="AW116" s="596"/>
      <c r="AX116" s="596"/>
    </row>
    <row r="117" spans="4:50" ht="15" customHeight="1" x14ac:dyDescent="0.3">
      <c r="D117" s="244"/>
      <c r="E117" s="230" t="s">
        <v>52</v>
      </c>
      <c r="F117" s="9" t="s">
        <v>32</v>
      </c>
      <c r="G117" s="9" t="s">
        <v>33</v>
      </c>
      <c r="H117" s="9"/>
      <c r="I117" s="9"/>
      <c r="J117" s="9" t="s">
        <v>34</v>
      </c>
      <c r="K117" s="9"/>
      <c r="L117" s="9"/>
      <c r="M117" s="257" t="s">
        <v>35</v>
      </c>
      <c r="N117" s="202"/>
      <c r="O117" s="9"/>
      <c r="P117" s="198" t="s">
        <v>22</v>
      </c>
      <c r="Q117" s="198"/>
      <c r="R117" s="596"/>
      <c r="S117" s="596"/>
      <c r="T117" s="596"/>
      <c r="U117" s="596"/>
      <c r="V117" s="596"/>
      <c r="W117" s="596"/>
      <c r="X117" s="596"/>
      <c r="AA117" s="50"/>
      <c r="AD117" s="244"/>
      <c r="AE117" s="230" t="s">
        <v>52</v>
      </c>
      <c r="AF117" s="9" t="s">
        <v>32</v>
      </c>
      <c r="AG117" s="9" t="s">
        <v>33</v>
      </c>
      <c r="AH117" s="9"/>
      <c r="AI117" s="9"/>
      <c r="AJ117" s="9" t="s">
        <v>34</v>
      </c>
      <c r="AK117" s="9"/>
      <c r="AL117" s="9"/>
      <c r="AM117" s="257" t="s">
        <v>35</v>
      </c>
      <c r="AN117" s="202"/>
      <c r="AO117" s="9"/>
      <c r="AP117" s="198" t="s">
        <v>22</v>
      </c>
      <c r="AQ117" s="198"/>
      <c r="AR117" s="596"/>
      <c r="AS117" s="596"/>
      <c r="AT117" s="596"/>
      <c r="AU117" s="596"/>
      <c r="AV117" s="596"/>
      <c r="AW117" s="596"/>
      <c r="AX117" s="596"/>
    </row>
    <row r="118" spans="4:50" x14ac:dyDescent="0.3">
      <c r="D118" s="244"/>
      <c r="E118" s="355" t="str">
        <f>IF(OR(M118="",M118=0,J118="",G118=""),"",
(IF(AND(F116=$P$4,M118&lt;=$R$4),$V$4,0)+IF(AND(F116=$P$5,M118&lt;=$R$5),$V$5,0)+IF(AND(F116=$P$6,M118&lt;=$R$6),$V$6,0)+IF(AND(F116=$P$7,M118&lt;=$R$7),$V$7,0))
)</f>
        <v/>
      </c>
      <c r="F118" s="153" t="s">
        <v>302</v>
      </c>
      <c r="G118" s="616"/>
      <c r="H118" s="617"/>
      <c r="I118" s="618"/>
      <c r="J118" s="616"/>
      <c r="K118" s="617"/>
      <c r="L118" s="618"/>
      <c r="M118" s="255"/>
      <c r="N118" s="256"/>
      <c r="O118" s="388"/>
      <c r="P118" s="185">
        <f t="shared" ref="P118" si="95">IF(F116="",0,1)</f>
        <v>0</v>
      </c>
      <c r="R118" s="185" t="str">
        <f t="shared" ref="R118" si="96">E118</f>
        <v/>
      </c>
      <c r="S118" s="185" t="str">
        <f t="shared" ref="S118" si="97">E119</f>
        <v/>
      </c>
      <c r="T118" s="185" t="str">
        <f t="shared" ref="T118" si="98">E120</f>
        <v/>
      </c>
      <c r="U118" s="185" t="str">
        <f t="shared" ref="U118" si="99">E121</f>
        <v/>
      </c>
      <c r="V118" s="185" t="str">
        <f t="shared" ref="V118" si="100">E122</f>
        <v/>
      </c>
      <c r="W118" s="185" t="str">
        <f t="shared" ref="W118" si="101">E123</f>
        <v/>
      </c>
      <c r="X118" s="185" t="str">
        <f t="shared" ref="X118" si="102">E124</f>
        <v/>
      </c>
      <c r="AA118" s="50"/>
      <c r="AD118" s="244"/>
      <c r="AE118" s="355" t="str">
        <f>IF(OR(AM118="",AM118=0,AJ118="",AG118=""),"",
(IF(AND(AF116=$P$4,AM118&lt;=$R$4),$V$4,0)+IF(AND(AF116=$P$5,AM118&lt;=$R$5),$V$5,0)+IF(AND(AF116=$P$6,AM118&lt;=$R$6),$V$6,0)+IF(AND(AF116=$P$7,AM118&lt;=$R$7),$V$7,0))
)</f>
        <v/>
      </c>
      <c r="AF118" s="153" t="s">
        <v>302</v>
      </c>
      <c r="AG118" s="598"/>
      <c r="AH118" s="599"/>
      <c r="AI118" s="600"/>
      <c r="AJ118" s="598"/>
      <c r="AK118" s="599"/>
      <c r="AL118" s="600"/>
      <c r="AM118" s="384"/>
      <c r="AN118" s="256"/>
      <c r="AO118" s="388"/>
      <c r="AP118" s="185">
        <f t="shared" ref="AP118" si="103">IF(AF116="",0,1)</f>
        <v>0</v>
      </c>
      <c r="AR118" s="185" t="str">
        <f t="shared" ref="AR118" si="104">AE118</f>
        <v/>
      </c>
      <c r="AS118" s="185" t="str">
        <f t="shared" ref="AS118" si="105">AE119</f>
        <v/>
      </c>
      <c r="AT118" s="185" t="str">
        <f t="shared" ref="AT118" si="106">AE120</f>
        <v/>
      </c>
      <c r="AU118" s="185" t="str">
        <f t="shared" ref="AU118" si="107">AE121</f>
        <v/>
      </c>
      <c r="AV118" s="185" t="str">
        <f t="shared" ref="AV118" si="108">AE122</f>
        <v/>
      </c>
      <c r="AW118" s="185" t="str">
        <f t="shared" ref="AW118" si="109">AE123</f>
        <v/>
      </c>
      <c r="AX118" s="185" t="str">
        <f t="shared" ref="AX118" si="110">AE124</f>
        <v/>
      </c>
    </row>
    <row r="119" spans="4:50" x14ac:dyDescent="0.3">
      <c r="D119" s="244"/>
      <c r="E119" s="341" t="str">
        <f>IF(OR(M119="",M119=0,J119="",G119=""),"",
(IF(AND(F116=$P$4,M119&lt;=$R$4),$V$4,0)+IF(AND(F116=$P$5,M119&lt;=$R$5),$V$5,0)+IF(AND(F116=$P$6,M119&lt;=$R$6),$V$6,0)+IF(AND(F116=$P$7,M119&lt;=$R$7),$V$7,0))
)</f>
        <v/>
      </c>
      <c r="F119" s="153" t="s">
        <v>303</v>
      </c>
      <c r="G119" s="616"/>
      <c r="H119" s="617"/>
      <c r="I119" s="618"/>
      <c r="J119" s="616"/>
      <c r="K119" s="617"/>
      <c r="L119" s="618"/>
      <c r="M119" s="255"/>
      <c r="N119" s="256"/>
      <c r="O119" s="388"/>
      <c r="AA119" s="50"/>
      <c r="AD119" s="244"/>
      <c r="AE119" s="341" t="str">
        <f>IF(OR(AM119="",AM119=0,AJ119="",AG119=""),"",
(IF(AND(AF116=$P$4,AM119&lt;=$R$4),$V$4,0)+IF(AND(AF116=$P$5,AM119&lt;=$R$5),$V$5,0)+IF(AND(AF116=$P$6,AM119&lt;=$R$6),$V$6,0)+IF(AND(AF116=$P$7,AM119&lt;=$R$7),$V$7,0))
)</f>
        <v/>
      </c>
      <c r="AF119" s="153" t="s">
        <v>303</v>
      </c>
      <c r="AG119" s="598"/>
      <c r="AH119" s="599"/>
      <c r="AI119" s="600"/>
      <c r="AJ119" s="598"/>
      <c r="AK119" s="599"/>
      <c r="AL119" s="600"/>
      <c r="AM119" s="384"/>
      <c r="AN119" s="256"/>
      <c r="AO119" s="388"/>
    </row>
    <row r="120" spans="4:50" x14ac:dyDescent="0.3">
      <c r="D120" s="244"/>
      <c r="E120" s="341" t="str">
        <f>IF(OR(M120="",M120=0,J120="",G120=""),"",
(IF(AND(F116=$P$4,M120&lt;=$R$4),$V$4,0)+IF(AND(F116=$P$5,M120&lt;=$R$5),$V$5,0)+IF(AND(F116=$P$6,M120&lt;=$R$6),$V$6,0)+IF(AND(F116=$P$7,M120&lt;=$R$7),$V$7,0))
)</f>
        <v/>
      </c>
      <c r="F120" s="153" t="s">
        <v>304</v>
      </c>
      <c r="G120" s="616"/>
      <c r="H120" s="617"/>
      <c r="I120" s="618"/>
      <c r="J120" s="616"/>
      <c r="K120" s="617"/>
      <c r="L120" s="618"/>
      <c r="M120" s="255"/>
      <c r="N120" s="256"/>
      <c r="O120" s="388"/>
      <c r="AA120" s="50"/>
      <c r="AD120" s="244"/>
      <c r="AE120" s="341" t="str">
        <f>IF(OR(AM120="",AM120=0,AJ120="",AG120=""),"",
(IF(AND(AF116=$P$4,AM120&lt;=$R$4),$V$4,0)+IF(AND(AF116=$P$5,AM120&lt;=$R$5),$V$5,0)+IF(AND(AF116=$P$6,AM120&lt;=$R$6),$V$6,0)+IF(AND(AF116=$P$7,AM120&lt;=$R$7),$V$7,0))
)</f>
        <v/>
      </c>
      <c r="AF120" s="153" t="s">
        <v>304</v>
      </c>
      <c r="AG120" s="598"/>
      <c r="AH120" s="599"/>
      <c r="AI120" s="600"/>
      <c r="AJ120" s="598"/>
      <c r="AK120" s="599"/>
      <c r="AL120" s="600"/>
      <c r="AM120" s="384"/>
      <c r="AN120" s="256"/>
      <c r="AO120" s="388"/>
    </row>
    <row r="121" spans="4:50" x14ac:dyDescent="0.3">
      <c r="D121" s="244"/>
      <c r="E121" s="341" t="str">
        <f>IF(OR(M121="",M121=0,J121="",G121=""),"",
(IF(AND(F116=$P$4,M121&lt;=$R$4),$V$4,0)+IF(AND(F116=$P$5,M121&lt;=$R$5),$V$5,0)+IF(AND(F116=$P$6,M121&lt;=$R$6),$V$6,0)+IF(AND(F116=$P$7,M121&lt;=$R$7),$V$7,0))
)</f>
        <v/>
      </c>
      <c r="F121" s="153" t="s">
        <v>305</v>
      </c>
      <c r="G121" s="616"/>
      <c r="H121" s="617"/>
      <c r="I121" s="618"/>
      <c r="J121" s="616"/>
      <c r="K121" s="617"/>
      <c r="L121" s="618"/>
      <c r="M121" s="255"/>
      <c r="N121" s="256"/>
      <c r="O121" s="388"/>
      <c r="AA121" s="50"/>
      <c r="AD121" s="244"/>
      <c r="AE121" s="341" t="str">
        <f>IF(OR(AM121="",AM121=0,AJ121="",AG121=""),"",
(IF(AND(AF116=$P$4,AM121&lt;=$R$4),$V$4,0)+IF(AND(AF116=$P$5,AM121&lt;=$R$5),$V$5,0)+IF(AND(AF116=$P$6,AM121&lt;=$R$6),$V$6,0)+IF(AND(AF116=$P$7,AM121&lt;=$R$7),$V$7,0))
)</f>
        <v/>
      </c>
      <c r="AF121" s="153" t="s">
        <v>305</v>
      </c>
      <c r="AG121" s="598"/>
      <c r="AH121" s="599"/>
      <c r="AI121" s="600"/>
      <c r="AJ121" s="598"/>
      <c r="AK121" s="599"/>
      <c r="AL121" s="600"/>
      <c r="AM121" s="384"/>
      <c r="AN121" s="256"/>
      <c r="AO121" s="388"/>
    </row>
    <row r="122" spans="4:50" x14ac:dyDescent="0.3">
      <c r="D122" s="244"/>
      <c r="E122" s="341" t="str">
        <f>IF(OR(M122="",M122=0,J122="",G122=""),"",
(IF(AND(F116=$P$4,M122&lt;=$R$4),$V$4,0)+IF(AND(F116=$P$5,M122&lt;=$R$5),$V$5,0)+IF(AND(F116=$P$6,M122&lt;=$R$6),$V$6,0)+IF(AND(F116=$P$7,M122&lt;=$R$7),$V$7,0))
)</f>
        <v/>
      </c>
      <c r="F122" s="153" t="s">
        <v>306</v>
      </c>
      <c r="G122" s="616"/>
      <c r="H122" s="617"/>
      <c r="I122" s="618"/>
      <c r="J122" s="616"/>
      <c r="K122" s="617"/>
      <c r="L122" s="618"/>
      <c r="M122" s="255"/>
      <c r="N122" s="256"/>
      <c r="O122" s="388"/>
      <c r="AA122" s="50"/>
      <c r="AD122" s="244"/>
      <c r="AE122" s="341" t="str">
        <f>IF(OR(AM122="",AM122=0,AJ122="",AG122=""),"",
(IF(AND(AF116=$P$4,AM122&lt;=$R$4),$V$4,0)+IF(AND(AF116=$P$5,AM122&lt;=$R$5),$V$5,0)+IF(AND(AF116=$P$6,AM122&lt;=$R$6),$V$6,0)+IF(AND(AF116=$P$7,AM122&lt;=$R$7),$V$7,0))
)</f>
        <v/>
      </c>
      <c r="AF122" s="153" t="s">
        <v>306</v>
      </c>
      <c r="AG122" s="598"/>
      <c r="AH122" s="599"/>
      <c r="AI122" s="600"/>
      <c r="AJ122" s="598"/>
      <c r="AK122" s="599"/>
      <c r="AL122" s="600"/>
      <c r="AM122" s="384"/>
      <c r="AN122" s="256"/>
      <c r="AO122" s="388"/>
    </row>
    <row r="123" spans="4:50" ht="15" customHeight="1" x14ac:dyDescent="0.3">
      <c r="D123" s="244"/>
      <c r="E123" s="341" t="str">
        <f>IF(OR(M123="",M123=0,J123="",G123=""),"",
(IF(AND(F116=$P$4,M123&lt;=$R$4),$V$4,0)+IF(AND(F116=$P$5,M123&lt;=$R$5),$V$5,0)+IF(AND(F116=$P$6,M123&lt;=$R$6),$V$6,0)+IF(AND(F116=$P$7,M123&lt;=$R$7),$V$7,0))
)</f>
        <v/>
      </c>
      <c r="F123" s="153" t="s">
        <v>307</v>
      </c>
      <c r="G123" s="616"/>
      <c r="H123" s="617"/>
      <c r="I123" s="618"/>
      <c r="J123" s="616"/>
      <c r="K123" s="617"/>
      <c r="L123" s="618"/>
      <c r="M123" s="255"/>
      <c r="N123" s="256"/>
      <c r="O123" s="388"/>
      <c r="AA123" s="50"/>
      <c r="AD123" s="244"/>
      <c r="AE123" s="341" t="str">
        <f>IF(OR(AM123="",AM123=0,AJ123="",AG123=""),"",
(IF(AND(AF116=$P$4,AM123&lt;=$R$4),$V$4,0)+IF(AND(AF116=$P$5,AM123&lt;=$R$5),$V$5,0)+IF(AND(AF116=$P$6,AM123&lt;=$R$6),$V$6,0)+IF(AND(AF116=$P$7,AM123&lt;=$R$7),$V$7,0))
)</f>
        <v/>
      </c>
      <c r="AF123" s="153" t="s">
        <v>307</v>
      </c>
      <c r="AG123" s="598"/>
      <c r="AH123" s="599"/>
      <c r="AI123" s="600"/>
      <c r="AJ123" s="598"/>
      <c r="AK123" s="599"/>
      <c r="AL123" s="600"/>
      <c r="AM123" s="384"/>
      <c r="AN123" s="256"/>
      <c r="AO123" s="388"/>
    </row>
    <row r="124" spans="4:50" ht="15" customHeight="1" x14ac:dyDescent="0.3">
      <c r="D124" s="244"/>
      <c r="E124" s="341" t="str">
        <f>IF(OR(M124="",M124=0,J124="",G124=""),"",
(IF(AND(F116=$P$4,M124&lt;=$R$4),$V$4,0)+IF(AND(F116=$P$5,M124&lt;=$R$5),$V$5,0)+IF(AND(F116=$P$6,M124&lt;=$R$6),$V$6,0)+IF(AND(F116=$P$7,M124&lt;=$R$7),$V$7,0))
)</f>
        <v/>
      </c>
      <c r="F124" s="153" t="s">
        <v>308</v>
      </c>
      <c r="G124" s="616"/>
      <c r="H124" s="617"/>
      <c r="I124" s="618"/>
      <c r="J124" s="616"/>
      <c r="K124" s="617"/>
      <c r="L124" s="618"/>
      <c r="M124" s="255"/>
      <c r="N124" s="256"/>
      <c r="O124" s="388"/>
      <c r="AA124" s="50"/>
      <c r="AD124" s="244"/>
      <c r="AE124" s="341" t="str">
        <f>IF(OR(AM124="",AM124=0,AJ124="",AG124=""),"",
(IF(AND(AF116=$P$4,AM124&lt;=$R$4),$V$4,0)+IF(AND(AF116=$P$5,AM124&lt;=$R$5),$V$5,0)+IF(AND(AF116=$P$6,AM124&lt;=$R$6),$V$6,0)+IF(AND(AF116=$P$7,AM124&lt;=$R$7),$V$7,0))
)</f>
        <v/>
      </c>
      <c r="AF124" s="153" t="s">
        <v>308</v>
      </c>
      <c r="AG124" s="598"/>
      <c r="AH124" s="599"/>
      <c r="AI124" s="600"/>
      <c r="AJ124" s="598"/>
      <c r="AK124" s="599"/>
      <c r="AL124" s="600"/>
      <c r="AM124" s="384"/>
      <c r="AN124" s="256"/>
      <c r="AO124" s="388"/>
    </row>
    <row r="125" spans="4:50" ht="15" customHeight="1" thickBot="1" x14ac:dyDescent="0.35">
      <c r="D125" s="203"/>
      <c r="E125" s="3"/>
      <c r="F125" s="3"/>
      <c r="G125" s="3"/>
      <c r="H125" s="3"/>
      <c r="I125" s="3"/>
      <c r="J125" s="3"/>
      <c r="K125" s="3"/>
      <c r="L125" s="3"/>
      <c r="M125" s="3"/>
      <c r="N125" s="204"/>
      <c r="P125" s="2"/>
      <c r="AA125" s="50"/>
      <c r="AD125" s="203"/>
      <c r="AE125" s="3"/>
      <c r="AF125" s="3"/>
      <c r="AG125" s="3"/>
      <c r="AH125" s="3"/>
      <c r="AI125" s="3"/>
      <c r="AJ125" s="3"/>
      <c r="AK125" s="3"/>
      <c r="AL125" s="3"/>
      <c r="AM125" s="3"/>
      <c r="AN125" s="204"/>
      <c r="AP125" s="2"/>
    </row>
    <row r="126" spans="4:50" ht="15" customHeight="1" x14ac:dyDescent="0.3">
      <c r="D126" s="601" t="str">
        <f>IF(
OR(
OR(F128=$P$4,F128=$P$5,F128=$P$6,F128=$P$7),AND(G130="",G131="",G132="",G133="",G134="",G135="",G136="",J130="",J131="",J132="",J133="",J134="",J135="",J136="",M130="",M131="",M132="",M133="",M134="",M135="",M136="",K127="",K128="")
),
"",
"A Set-Aside must be selected."
)</f>
        <v/>
      </c>
      <c r="E126" s="602"/>
      <c r="F126" s="602"/>
      <c r="G126" s="602"/>
      <c r="H126" s="602"/>
      <c r="I126" s="602"/>
      <c r="J126" s="602"/>
      <c r="K126" s="602"/>
      <c r="L126" s="602"/>
      <c r="M126" s="602"/>
      <c r="N126" s="603"/>
      <c r="O126" s="2"/>
      <c r="AA126" s="50"/>
      <c r="AD126" s="601" t="str">
        <f>IF(
OR(
OR(AF128=$P$4,AF128=$P$5,AF128=$P$6,AF128=$P$7),AND(AG130="",AG131="",AG132="",AG133="",AG134="",AG135="",AG136="",AJ130="",AJ131="",AJ132="",AJ133="",AJ134="",AJ135="",AJ136="",AM130="",AM131="",AM132="",AM133="",AM134="",AM135="",AM136="",AK127="",AK128="")
),
"",
"A Set-Aside must be selected."
)</f>
        <v/>
      </c>
      <c r="AE126" s="602"/>
      <c r="AF126" s="602"/>
      <c r="AG126" s="602"/>
      <c r="AH126" s="602"/>
      <c r="AI126" s="602"/>
      <c r="AJ126" s="602"/>
      <c r="AK126" s="602"/>
      <c r="AL126" s="602"/>
      <c r="AM126" s="602"/>
      <c r="AN126" s="603"/>
      <c r="AO126" s="2"/>
    </row>
    <row r="127" spans="4:50" ht="15" customHeight="1" x14ac:dyDescent="0.3">
      <c r="D127" s="199"/>
      <c r="E127" s="9" t="s">
        <v>30</v>
      </c>
      <c r="F127" s="86">
        <f>F115+1</f>
        <v>8</v>
      </c>
      <c r="G127" s="9" t="s">
        <v>175</v>
      </c>
      <c r="H127" s="9"/>
      <c r="I127" s="9"/>
      <c r="J127" s="168" t="s">
        <v>111</v>
      </c>
      <c r="K127" s="148"/>
      <c r="N127" s="200"/>
      <c r="R127" s="596" t="s">
        <v>302</v>
      </c>
      <c r="S127" s="596" t="s">
        <v>303</v>
      </c>
      <c r="T127" s="596" t="s">
        <v>304</v>
      </c>
      <c r="U127" s="596" t="s">
        <v>305</v>
      </c>
      <c r="V127" s="596" t="s">
        <v>306</v>
      </c>
      <c r="W127" s="596" t="s">
        <v>307</v>
      </c>
      <c r="X127" s="596" t="s">
        <v>308</v>
      </c>
      <c r="AA127" s="50"/>
      <c r="AD127" s="199"/>
      <c r="AE127" s="9" t="s">
        <v>30</v>
      </c>
      <c r="AF127" s="86">
        <f>AF115+1</f>
        <v>8</v>
      </c>
      <c r="AG127" s="9" t="s">
        <v>175</v>
      </c>
      <c r="AH127" s="9"/>
      <c r="AI127" s="9"/>
      <c r="AJ127" s="168" t="s">
        <v>111</v>
      </c>
      <c r="AK127" s="382"/>
      <c r="AN127" s="200"/>
      <c r="AR127" s="596" t="s">
        <v>302</v>
      </c>
      <c r="AS127" s="596" t="s">
        <v>303</v>
      </c>
      <c r="AT127" s="596" t="s">
        <v>304</v>
      </c>
      <c r="AU127" s="596" t="s">
        <v>305</v>
      </c>
      <c r="AV127" s="596" t="s">
        <v>306</v>
      </c>
      <c r="AW127" s="596" t="s">
        <v>307</v>
      </c>
      <c r="AX127" s="596" t="s">
        <v>308</v>
      </c>
    </row>
    <row r="128" spans="4:50" ht="15" customHeight="1" x14ac:dyDescent="0.3">
      <c r="D128" s="604" t="s">
        <v>31</v>
      </c>
      <c r="E128" s="594"/>
      <c r="F128" s="151"/>
      <c r="G128" s="86" t="str">
        <f>IF(F128=$P$4,$Q$4,IF(F128=$P$5,$Q$5,IF(F128=$P$6,$Q$6,IF(F128=$P$7,Q$7,IF(F128=$P$8,"","")))))</f>
        <v/>
      </c>
      <c r="H128" s="201"/>
      <c r="I128" s="201"/>
      <c r="J128" s="168" t="s">
        <v>112</v>
      </c>
      <c r="K128" s="148"/>
      <c r="N128" s="200"/>
      <c r="R128" s="596"/>
      <c r="S128" s="596"/>
      <c r="T128" s="596"/>
      <c r="U128" s="596"/>
      <c r="V128" s="596"/>
      <c r="W128" s="596"/>
      <c r="X128" s="596"/>
      <c r="AA128" s="50"/>
      <c r="AD128" s="604" t="s">
        <v>31</v>
      </c>
      <c r="AE128" s="594"/>
      <c r="AF128" s="383"/>
      <c r="AG128" s="86" t="str">
        <f>IF(AF128=$P$4,$Q$4,IF(AF128=$P$5,$Q$5,IF(AF128=$P$6,$Q$6,IF(AF128=$P$7,AQ$7,IF(AF128=$P$8,"","")))))</f>
        <v/>
      </c>
      <c r="AH128" s="201"/>
      <c r="AI128" s="201"/>
      <c r="AJ128" s="168" t="s">
        <v>112</v>
      </c>
      <c r="AK128" s="382"/>
      <c r="AN128" s="200"/>
      <c r="AR128" s="596"/>
      <c r="AS128" s="596"/>
      <c r="AT128" s="596"/>
      <c r="AU128" s="596"/>
      <c r="AV128" s="596"/>
      <c r="AW128" s="596"/>
      <c r="AX128" s="596"/>
    </row>
    <row r="129" spans="4:50" ht="15" customHeight="1" x14ac:dyDescent="0.3">
      <c r="D129" s="244"/>
      <c r="E129" s="230" t="s">
        <v>52</v>
      </c>
      <c r="F129" s="9" t="s">
        <v>32</v>
      </c>
      <c r="G129" s="9" t="s">
        <v>33</v>
      </c>
      <c r="H129" s="9"/>
      <c r="I129" s="9"/>
      <c r="J129" s="9" t="s">
        <v>34</v>
      </c>
      <c r="K129" s="9"/>
      <c r="L129" s="9"/>
      <c r="M129" s="257" t="s">
        <v>35</v>
      </c>
      <c r="N129" s="202"/>
      <c r="O129" s="9"/>
      <c r="P129" s="198" t="s">
        <v>22</v>
      </c>
      <c r="Q129" s="198"/>
      <c r="R129" s="596"/>
      <c r="S129" s="596"/>
      <c r="T129" s="596"/>
      <c r="U129" s="596"/>
      <c r="V129" s="596"/>
      <c r="W129" s="596"/>
      <c r="X129" s="596"/>
      <c r="AA129" s="50"/>
      <c r="AD129" s="244"/>
      <c r="AE129" s="230" t="s">
        <v>52</v>
      </c>
      <c r="AF129" s="9" t="s">
        <v>32</v>
      </c>
      <c r="AG129" s="9" t="s">
        <v>33</v>
      </c>
      <c r="AH129" s="9"/>
      <c r="AI129" s="9"/>
      <c r="AJ129" s="9" t="s">
        <v>34</v>
      </c>
      <c r="AK129" s="9"/>
      <c r="AL129" s="9"/>
      <c r="AM129" s="257" t="s">
        <v>35</v>
      </c>
      <c r="AN129" s="202"/>
      <c r="AO129" s="9"/>
      <c r="AP129" s="198" t="s">
        <v>22</v>
      </c>
      <c r="AQ129" s="198"/>
      <c r="AR129" s="596"/>
      <c r="AS129" s="596"/>
      <c r="AT129" s="596"/>
      <c r="AU129" s="596"/>
      <c r="AV129" s="596"/>
      <c r="AW129" s="596"/>
      <c r="AX129" s="596"/>
    </row>
    <row r="130" spans="4:50" ht="15" customHeight="1" x14ac:dyDescent="0.3">
      <c r="D130" s="244"/>
      <c r="E130" s="355" t="str">
        <f>IF(OR(M130="",M130=0,J130="",G130=""),"",
(IF(AND(F128=$P$4,M130&lt;=$R$4),$V$4,0)+IF(AND(F128=$P$5,M130&lt;=$R$5),$V$5,0)+IF(AND(F128=$P$6,M130&lt;=$R$6),$V$6,0)+IF(AND(F128=$P$7,M130&lt;=$R$7),$V$7,0))
)</f>
        <v/>
      </c>
      <c r="F130" s="153" t="s">
        <v>302</v>
      </c>
      <c r="G130" s="616"/>
      <c r="H130" s="617"/>
      <c r="I130" s="618"/>
      <c r="J130" s="616"/>
      <c r="K130" s="617"/>
      <c r="L130" s="618"/>
      <c r="M130" s="255"/>
      <c r="N130" s="256"/>
      <c r="O130" s="388"/>
      <c r="P130" s="185">
        <f t="shared" ref="P130" si="111">IF(F128="",0,1)</f>
        <v>0</v>
      </c>
      <c r="R130" s="185" t="str">
        <f t="shared" ref="R130" si="112">E130</f>
        <v/>
      </c>
      <c r="S130" s="185" t="str">
        <f t="shared" ref="S130" si="113">E131</f>
        <v/>
      </c>
      <c r="T130" s="185" t="str">
        <f t="shared" ref="T130" si="114">E132</f>
        <v/>
      </c>
      <c r="U130" s="185" t="str">
        <f t="shared" ref="U130" si="115">E133</f>
        <v/>
      </c>
      <c r="V130" s="185" t="str">
        <f t="shared" ref="V130" si="116">E134</f>
        <v/>
      </c>
      <c r="W130" s="185" t="str">
        <f t="shared" ref="W130" si="117">E135</f>
        <v/>
      </c>
      <c r="X130" s="185" t="str">
        <f t="shared" ref="X130" si="118">E136</f>
        <v/>
      </c>
      <c r="AA130" s="50"/>
      <c r="AD130" s="244"/>
      <c r="AE130" s="355" t="str">
        <f>IF(OR(AM130="",AM130=0,AJ130="",AG130=""),"",
(IF(AND(AF128=$P$4,AM130&lt;=$R$4),$V$4,0)+IF(AND(AF128=$P$5,AM130&lt;=$R$5),$V$5,0)+IF(AND(AF128=$P$6,AM130&lt;=$R$6),$V$6,0)+IF(AND(AF128=$P$7,AM130&lt;=$R$7),$V$7,0))
)</f>
        <v/>
      </c>
      <c r="AF130" s="153" t="s">
        <v>302</v>
      </c>
      <c r="AG130" s="598"/>
      <c r="AH130" s="599"/>
      <c r="AI130" s="600"/>
      <c r="AJ130" s="598"/>
      <c r="AK130" s="599"/>
      <c r="AL130" s="600"/>
      <c r="AM130" s="384"/>
      <c r="AN130" s="256"/>
      <c r="AO130" s="388"/>
      <c r="AP130" s="185">
        <f t="shared" ref="AP130" si="119">IF(AF128="",0,1)</f>
        <v>0</v>
      </c>
      <c r="AR130" s="185" t="str">
        <f t="shared" ref="AR130" si="120">AE130</f>
        <v/>
      </c>
      <c r="AS130" s="185" t="str">
        <f t="shared" ref="AS130" si="121">AE131</f>
        <v/>
      </c>
      <c r="AT130" s="185" t="str">
        <f t="shared" ref="AT130" si="122">AE132</f>
        <v/>
      </c>
      <c r="AU130" s="185" t="str">
        <f t="shared" ref="AU130" si="123">AE133</f>
        <v/>
      </c>
      <c r="AV130" s="185" t="str">
        <f t="shared" ref="AV130" si="124">AE134</f>
        <v/>
      </c>
      <c r="AW130" s="185" t="str">
        <f t="shared" ref="AW130" si="125">AE135</f>
        <v/>
      </c>
      <c r="AX130" s="185" t="str">
        <f t="shared" ref="AX130" si="126">AE136</f>
        <v/>
      </c>
    </row>
    <row r="131" spans="4:50" x14ac:dyDescent="0.3">
      <c r="D131" s="244"/>
      <c r="E131" s="341" t="str">
        <f>IF(OR(M131="",M131=0,J131="",G131=""),"",
(IF(AND(F128=$P$4,M131&lt;=$R$4),$V$4,0)+IF(AND(F128=$P$5,M131&lt;=$R$5),$V$5,0)+IF(AND(F128=$P$6,M131&lt;=$R$6),$V$6,0)+IF(AND(F128=$P$7,M131&lt;=$R$7),$V$7,0))
)</f>
        <v/>
      </c>
      <c r="F131" s="153" t="s">
        <v>303</v>
      </c>
      <c r="G131" s="616"/>
      <c r="H131" s="617"/>
      <c r="I131" s="618"/>
      <c r="J131" s="616"/>
      <c r="K131" s="617"/>
      <c r="L131" s="618"/>
      <c r="M131" s="255"/>
      <c r="N131" s="256"/>
      <c r="O131" s="388"/>
      <c r="AA131" s="50"/>
      <c r="AD131" s="244"/>
      <c r="AE131" s="341" t="str">
        <f>IF(OR(AM131="",AM131=0,AJ131="",AG131=""),"",
(IF(AND(AF128=$P$4,AM131&lt;=$R$4),$V$4,0)+IF(AND(AF128=$P$5,AM131&lt;=$R$5),$V$5,0)+IF(AND(AF128=$P$6,AM131&lt;=$R$6),$V$6,0)+IF(AND(AF128=$P$7,AM131&lt;=$R$7),$V$7,0))
)</f>
        <v/>
      </c>
      <c r="AF131" s="153" t="s">
        <v>303</v>
      </c>
      <c r="AG131" s="598"/>
      <c r="AH131" s="599"/>
      <c r="AI131" s="600"/>
      <c r="AJ131" s="598"/>
      <c r="AK131" s="599"/>
      <c r="AL131" s="600"/>
      <c r="AM131" s="384"/>
      <c r="AN131" s="256"/>
      <c r="AO131" s="388"/>
    </row>
    <row r="132" spans="4:50" x14ac:dyDescent="0.3">
      <c r="D132" s="244"/>
      <c r="E132" s="341" t="str">
        <f>IF(OR(M132="",M132=0,J132="",G132=""),"",
(IF(AND(F128=$P$4,M132&lt;=$R$4),$V$4,0)+IF(AND(F128=$P$5,M132&lt;=$R$5),$V$5,0)+IF(AND(F128=$P$6,M132&lt;=$R$6),$V$6,0)+IF(AND(F128=$P$7,M132&lt;=$R$7),$V$7,0))
)</f>
        <v/>
      </c>
      <c r="F132" s="153" t="s">
        <v>304</v>
      </c>
      <c r="G132" s="616"/>
      <c r="H132" s="617"/>
      <c r="I132" s="618"/>
      <c r="J132" s="616"/>
      <c r="K132" s="617"/>
      <c r="L132" s="618"/>
      <c r="M132" s="255"/>
      <c r="N132" s="256"/>
      <c r="O132" s="388"/>
      <c r="AA132" s="50"/>
      <c r="AD132" s="244"/>
      <c r="AE132" s="341" t="str">
        <f>IF(OR(AM132="",AM132=0,AJ132="",AG132=""),"",
(IF(AND(AF128=$P$4,AM132&lt;=$R$4),$V$4,0)+IF(AND(AF128=$P$5,AM132&lt;=$R$5),$V$5,0)+IF(AND(AF128=$P$6,AM132&lt;=$R$6),$V$6,0)+IF(AND(AF128=$P$7,AM132&lt;=$R$7),$V$7,0))
)</f>
        <v/>
      </c>
      <c r="AF132" s="153" t="s">
        <v>304</v>
      </c>
      <c r="AG132" s="598"/>
      <c r="AH132" s="599"/>
      <c r="AI132" s="600"/>
      <c r="AJ132" s="598"/>
      <c r="AK132" s="599"/>
      <c r="AL132" s="600"/>
      <c r="AM132" s="384"/>
      <c r="AN132" s="256"/>
      <c r="AO132" s="388"/>
    </row>
    <row r="133" spans="4:50" x14ac:dyDescent="0.3">
      <c r="D133" s="244"/>
      <c r="E133" s="341" t="str">
        <f>IF(OR(M133="",M133=0,J133="",G133=""),"",
(IF(AND(F128=$P$4,M133&lt;=$R$4),$V$4,0)+IF(AND(F128=$P$5,M133&lt;=$R$5),$V$5,0)+IF(AND(F128=$P$6,M133&lt;=$R$6),$V$6,0)+IF(AND(F128=$P$7,M133&lt;=$R$7),$V$7,0))
)</f>
        <v/>
      </c>
      <c r="F133" s="153" t="s">
        <v>305</v>
      </c>
      <c r="G133" s="616"/>
      <c r="H133" s="617"/>
      <c r="I133" s="618"/>
      <c r="J133" s="616"/>
      <c r="K133" s="617"/>
      <c r="L133" s="618"/>
      <c r="M133" s="255"/>
      <c r="N133" s="256"/>
      <c r="O133" s="388"/>
      <c r="AA133" s="50"/>
      <c r="AD133" s="244"/>
      <c r="AE133" s="341" t="str">
        <f>IF(OR(AM133="",AM133=0,AJ133="",AG133=""),"",
(IF(AND(AF128=$P$4,AM133&lt;=$R$4),$V$4,0)+IF(AND(AF128=$P$5,AM133&lt;=$R$5),$V$5,0)+IF(AND(AF128=$P$6,AM133&lt;=$R$6),$V$6,0)+IF(AND(AF128=$P$7,AM133&lt;=$R$7),$V$7,0))
)</f>
        <v/>
      </c>
      <c r="AF133" s="153" t="s">
        <v>305</v>
      </c>
      <c r="AG133" s="598"/>
      <c r="AH133" s="599"/>
      <c r="AI133" s="600"/>
      <c r="AJ133" s="598"/>
      <c r="AK133" s="599"/>
      <c r="AL133" s="600"/>
      <c r="AM133" s="384"/>
      <c r="AN133" s="256"/>
      <c r="AO133" s="388"/>
    </row>
    <row r="134" spans="4:50" x14ac:dyDescent="0.3">
      <c r="D134" s="244"/>
      <c r="E134" s="341" t="str">
        <f>IF(OR(M134="",M134=0,J134="",G134=""),"",
(IF(AND(F128=$P$4,M134&lt;=$R$4),$V$4,0)+IF(AND(F128=$P$5,M134&lt;=$R$5),$V$5,0)+IF(AND(F128=$P$6,M134&lt;=$R$6),$V$6,0)+IF(AND(F128=$P$7,M134&lt;=$R$7),$V$7,0))
)</f>
        <v/>
      </c>
      <c r="F134" s="153" t="s">
        <v>306</v>
      </c>
      <c r="G134" s="616"/>
      <c r="H134" s="617"/>
      <c r="I134" s="618"/>
      <c r="J134" s="616"/>
      <c r="K134" s="617"/>
      <c r="L134" s="618"/>
      <c r="M134" s="255"/>
      <c r="N134" s="256"/>
      <c r="O134" s="388"/>
      <c r="AA134" s="50"/>
      <c r="AD134" s="244"/>
      <c r="AE134" s="341" t="str">
        <f>IF(OR(AM134="",AM134=0,AJ134="",AG134=""),"",
(IF(AND(AF128=$P$4,AM134&lt;=$R$4),$V$4,0)+IF(AND(AF128=$P$5,AM134&lt;=$R$5),$V$5,0)+IF(AND(AF128=$P$6,AM134&lt;=$R$6),$V$6,0)+IF(AND(AF128=$P$7,AM134&lt;=$R$7),$V$7,0))
)</f>
        <v/>
      </c>
      <c r="AF134" s="153" t="s">
        <v>306</v>
      </c>
      <c r="AG134" s="598"/>
      <c r="AH134" s="599"/>
      <c r="AI134" s="600"/>
      <c r="AJ134" s="598"/>
      <c r="AK134" s="599"/>
      <c r="AL134" s="600"/>
      <c r="AM134" s="384"/>
      <c r="AN134" s="256"/>
      <c r="AO134" s="388"/>
    </row>
    <row r="135" spans="4:50" x14ac:dyDescent="0.3">
      <c r="D135" s="244"/>
      <c r="E135" s="341" t="str">
        <f>IF(OR(M135="",M135=0,J135="",G135=""),"",
(IF(AND(F128=$P$4,M135&lt;=$R$4),$V$4,0)+IF(AND(F128=$P$5,M135&lt;=$R$5),$V$5,0)+IF(AND(F128=$P$6,M135&lt;=$R$6),$V$6,0)+IF(AND(F128=$P$7,M135&lt;=$R$7),$V$7,0))
)</f>
        <v/>
      </c>
      <c r="F135" s="153" t="s">
        <v>307</v>
      </c>
      <c r="G135" s="616"/>
      <c r="H135" s="617"/>
      <c r="I135" s="618"/>
      <c r="J135" s="616"/>
      <c r="K135" s="617"/>
      <c r="L135" s="618"/>
      <c r="M135" s="255"/>
      <c r="N135" s="256"/>
      <c r="O135" s="388"/>
      <c r="AA135" s="50"/>
      <c r="AD135" s="244"/>
      <c r="AE135" s="341" t="str">
        <f>IF(OR(AM135="",AM135=0,AJ135="",AG135=""),"",
(IF(AND(AF128=$P$4,AM135&lt;=$R$4),$V$4,0)+IF(AND(AF128=$P$5,AM135&lt;=$R$5),$V$5,0)+IF(AND(AF128=$P$6,AM135&lt;=$R$6),$V$6,0)+IF(AND(AF128=$P$7,AM135&lt;=$R$7),$V$7,0))
)</f>
        <v/>
      </c>
      <c r="AF135" s="153" t="s">
        <v>307</v>
      </c>
      <c r="AG135" s="598"/>
      <c r="AH135" s="599"/>
      <c r="AI135" s="600"/>
      <c r="AJ135" s="598"/>
      <c r="AK135" s="599"/>
      <c r="AL135" s="600"/>
      <c r="AM135" s="384"/>
      <c r="AN135" s="256"/>
      <c r="AO135" s="388"/>
    </row>
    <row r="136" spans="4:50" ht="15" customHeight="1" x14ac:dyDescent="0.3">
      <c r="D136" s="244"/>
      <c r="E136" s="341" t="str">
        <f>IF(OR(M136="",M136=0,J136="",G136=""),"",
(IF(AND(F128=$P$4,M136&lt;=$R$4),$V$4,0)+IF(AND(F128=$P$5,M136&lt;=$R$5),$V$5,0)+IF(AND(F128=$P$6,M136&lt;=$R$6),$V$6,0)+IF(AND(F128=$P$7,M136&lt;=$R$7),$V$7,0))
)</f>
        <v/>
      </c>
      <c r="F136" s="153" t="s">
        <v>308</v>
      </c>
      <c r="G136" s="616"/>
      <c r="H136" s="617"/>
      <c r="I136" s="618"/>
      <c r="J136" s="616"/>
      <c r="K136" s="617"/>
      <c r="L136" s="618"/>
      <c r="M136" s="255"/>
      <c r="N136" s="256"/>
      <c r="O136" s="388"/>
      <c r="AA136" s="50"/>
      <c r="AD136" s="244"/>
      <c r="AE136" s="341" t="str">
        <f>IF(OR(AM136="",AM136=0,AJ136="",AG136=""),"",
(IF(AND(AF128=$P$4,AM136&lt;=$R$4),$V$4,0)+IF(AND(AF128=$P$5,AM136&lt;=$R$5),$V$5,0)+IF(AND(AF128=$P$6,AM136&lt;=$R$6),$V$6,0)+IF(AND(AF128=$P$7,AM136&lt;=$R$7),$V$7,0))
)</f>
        <v/>
      </c>
      <c r="AF136" s="153" t="s">
        <v>308</v>
      </c>
      <c r="AG136" s="598"/>
      <c r="AH136" s="599"/>
      <c r="AI136" s="600"/>
      <c r="AJ136" s="598"/>
      <c r="AK136" s="599"/>
      <c r="AL136" s="600"/>
      <c r="AM136" s="384"/>
      <c r="AN136" s="256"/>
      <c r="AO136" s="388"/>
    </row>
    <row r="137" spans="4:50" ht="15" customHeight="1" thickBot="1" x14ac:dyDescent="0.35">
      <c r="D137" s="203"/>
      <c r="E137" s="3"/>
      <c r="F137" s="3"/>
      <c r="G137" s="3"/>
      <c r="H137" s="3"/>
      <c r="I137" s="3"/>
      <c r="J137" s="3"/>
      <c r="K137" s="3"/>
      <c r="L137" s="3"/>
      <c r="M137" s="3"/>
      <c r="N137" s="204"/>
      <c r="P137" s="2"/>
      <c r="AA137" s="50"/>
      <c r="AD137" s="203"/>
      <c r="AE137" s="3"/>
      <c r="AF137" s="3"/>
      <c r="AG137" s="3"/>
      <c r="AH137" s="3"/>
      <c r="AI137" s="3"/>
      <c r="AJ137" s="3"/>
      <c r="AK137" s="3"/>
      <c r="AL137" s="3"/>
      <c r="AM137" s="3"/>
      <c r="AN137" s="204"/>
      <c r="AP137" s="2"/>
    </row>
    <row r="138" spans="4:50" ht="15" customHeight="1" x14ac:dyDescent="0.3">
      <c r="D138" s="601" t="str">
        <f>IF(
OR(
OR(F140=$P$4,F140=$P$5,F140=$P$6,F140=$P$7),AND(G142="",G143="",G144="",G145="",G146="",G147="",G148="",J142="",J143="",J144="",J145="",J146="",J147="",J148="",M142="",M143="",M144="",M145="",M146="",M147="",M148="",K139="",K140="")
),
"",
"A Set-Aside must be selected."
)</f>
        <v/>
      </c>
      <c r="E138" s="602"/>
      <c r="F138" s="602"/>
      <c r="G138" s="602"/>
      <c r="H138" s="602"/>
      <c r="I138" s="602"/>
      <c r="J138" s="602"/>
      <c r="K138" s="602"/>
      <c r="L138" s="602"/>
      <c r="M138" s="602"/>
      <c r="N138" s="603"/>
      <c r="O138" s="2"/>
      <c r="AA138" s="50"/>
      <c r="AD138" s="601" t="str">
        <f>IF(
OR(
OR(AF140=$P$4,AF140=$P$5,AF140=$P$6,AF140=$P$7),AND(AG142="",AG143="",AG144="",AG145="",AG146="",AG147="",AG148="",AJ142="",AJ143="",AJ144="",AJ145="",AJ146="",AJ147="",AJ148="",AM142="",AM143="",AM144="",AM145="",AM146="",AM147="",AM148="",AK139="",AK140="")
),
"",
"A Set-Aside must be selected."
)</f>
        <v/>
      </c>
      <c r="AE138" s="602"/>
      <c r="AF138" s="602"/>
      <c r="AG138" s="602"/>
      <c r="AH138" s="602"/>
      <c r="AI138" s="602"/>
      <c r="AJ138" s="602"/>
      <c r="AK138" s="602"/>
      <c r="AL138" s="602"/>
      <c r="AM138" s="602"/>
      <c r="AN138" s="603"/>
      <c r="AO138" s="2"/>
    </row>
    <row r="139" spans="4:50" ht="15" customHeight="1" x14ac:dyDescent="0.3">
      <c r="D139" s="199"/>
      <c r="E139" s="9" t="s">
        <v>30</v>
      </c>
      <c r="F139" s="86">
        <f>F127+1</f>
        <v>9</v>
      </c>
      <c r="G139" s="9" t="s">
        <v>175</v>
      </c>
      <c r="H139" s="9"/>
      <c r="I139" s="9"/>
      <c r="J139" s="168" t="s">
        <v>111</v>
      </c>
      <c r="K139" s="148"/>
      <c r="N139" s="200"/>
      <c r="R139" s="596" t="s">
        <v>302</v>
      </c>
      <c r="S139" s="596" t="s">
        <v>303</v>
      </c>
      <c r="T139" s="596" t="s">
        <v>304</v>
      </c>
      <c r="U139" s="596" t="s">
        <v>305</v>
      </c>
      <c r="V139" s="596" t="s">
        <v>306</v>
      </c>
      <c r="W139" s="596" t="s">
        <v>307</v>
      </c>
      <c r="X139" s="596" t="s">
        <v>308</v>
      </c>
      <c r="AA139" s="50"/>
      <c r="AD139" s="199"/>
      <c r="AE139" s="9" t="s">
        <v>30</v>
      </c>
      <c r="AF139" s="86">
        <f>AF127+1</f>
        <v>9</v>
      </c>
      <c r="AG139" s="9" t="s">
        <v>175</v>
      </c>
      <c r="AH139" s="9"/>
      <c r="AI139" s="9"/>
      <c r="AJ139" s="168" t="s">
        <v>111</v>
      </c>
      <c r="AK139" s="382"/>
      <c r="AN139" s="200"/>
      <c r="AR139" s="596" t="s">
        <v>302</v>
      </c>
      <c r="AS139" s="596" t="s">
        <v>303</v>
      </c>
      <c r="AT139" s="596" t="s">
        <v>304</v>
      </c>
      <c r="AU139" s="596" t="s">
        <v>305</v>
      </c>
      <c r="AV139" s="596" t="s">
        <v>306</v>
      </c>
      <c r="AW139" s="596" t="s">
        <v>307</v>
      </c>
      <c r="AX139" s="596" t="s">
        <v>308</v>
      </c>
    </row>
    <row r="140" spans="4:50" ht="15" customHeight="1" x14ac:dyDescent="0.3">
      <c r="D140" s="604" t="s">
        <v>31</v>
      </c>
      <c r="E140" s="594"/>
      <c r="F140" s="151"/>
      <c r="G140" s="86" t="str">
        <f>IF(F140=$P$4,$Q$4,IF(F140=$P$5,$Q$5,IF(F140=$P$6,$Q$6,IF(F140=$P$7,Q$7,IF(F140=$P$8,"","")))))</f>
        <v/>
      </c>
      <c r="H140" s="201"/>
      <c r="I140" s="201"/>
      <c r="J140" s="168" t="s">
        <v>112</v>
      </c>
      <c r="K140" s="148"/>
      <c r="N140" s="200"/>
      <c r="R140" s="596"/>
      <c r="S140" s="596"/>
      <c r="T140" s="596"/>
      <c r="U140" s="596"/>
      <c r="V140" s="596"/>
      <c r="W140" s="596"/>
      <c r="X140" s="596"/>
      <c r="AA140" s="50"/>
      <c r="AD140" s="604" t="s">
        <v>31</v>
      </c>
      <c r="AE140" s="594"/>
      <c r="AF140" s="383"/>
      <c r="AG140" s="86" t="str">
        <f>IF(AF140=$P$4,$Q$4,IF(AF140=$P$5,$Q$5,IF(AF140=$P$6,$Q$6,IF(AF140=$P$7,AQ$7,IF(AF140=$P$8,"","")))))</f>
        <v/>
      </c>
      <c r="AH140" s="201"/>
      <c r="AI140" s="201"/>
      <c r="AJ140" s="168" t="s">
        <v>112</v>
      </c>
      <c r="AK140" s="382"/>
      <c r="AN140" s="200"/>
      <c r="AR140" s="596"/>
      <c r="AS140" s="596"/>
      <c r="AT140" s="596"/>
      <c r="AU140" s="596"/>
      <c r="AV140" s="596"/>
      <c r="AW140" s="596"/>
      <c r="AX140" s="596"/>
    </row>
    <row r="141" spans="4:50" ht="15" customHeight="1" x14ac:dyDescent="0.3">
      <c r="D141" s="244"/>
      <c r="E141" s="230" t="s">
        <v>52</v>
      </c>
      <c r="F141" s="9" t="s">
        <v>32</v>
      </c>
      <c r="G141" s="9" t="s">
        <v>33</v>
      </c>
      <c r="H141" s="9"/>
      <c r="I141" s="9"/>
      <c r="J141" s="9" t="s">
        <v>34</v>
      </c>
      <c r="K141" s="9"/>
      <c r="L141" s="9"/>
      <c r="M141" s="257" t="s">
        <v>35</v>
      </c>
      <c r="N141" s="202"/>
      <c r="O141" s="9"/>
      <c r="P141" s="198" t="s">
        <v>22</v>
      </c>
      <c r="Q141" s="198"/>
      <c r="R141" s="596"/>
      <c r="S141" s="596"/>
      <c r="T141" s="596"/>
      <c r="U141" s="596"/>
      <c r="V141" s="596"/>
      <c r="W141" s="596"/>
      <c r="X141" s="596"/>
      <c r="AA141" s="50"/>
      <c r="AD141" s="244"/>
      <c r="AE141" s="230" t="s">
        <v>52</v>
      </c>
      <c r="AF141" s="9" t="s">
        <v>32</v>
      </c>
      <c r="AG141" s="9" t="s">
        <v>33</v>
      </c>
      <c r="AH141" s="9"/>
      <c r="AI141" s="9"/>
      <c r="AJ141" s="9" t="s">
        <v>34</v>
      </c>
      <c r="AK141" s="9"/>
      <c r="AL141" s="9"/>
      <c r="AM141" s="257" t="s">
        <v>35</v>
      </c>
      <c r="AN141" s="202"/>
      <c r="AO141" s="9"/>
      <c r="AP141" s="198" t="s">
        <v>22</v>
      </c>
      <c r="AQ141" s="198"/>
      <c r="AR141" s="596"/>
      <c r="AS141" s="596"/>
      <c r="AT141" s="596"/>
      <c r="AU141" s="596"/>
      <c r="AV141" s="596"/>
      <c r="AW141" s="596"/>
      <c r="AX141" s="596"/>
    </row>
    <row r="142" spans="4:50" ht="15" customHeight="1" x14ac:dyDescent="0.3">
      <c r="D142" s="244"/>
      <c r="E142" s="355" t="str">
        <f>IF(OR(M142="",M142=0,J142="",G142=""),"",
(IF(AND(F140=$P$4,M142&lt;=$R$4),$V$4,0)+IF(AND(F140=$P$5,M142&lt;=$R$5),$V$5,0)+IF(AND(F140=$P$6,M142&lt;=$R$6),$V$6,0)+IF(AND(F140=$P$7,M142&lt;=$R$7),$V$7,0))
)</f>
        <v/>
      </c>
      <c r="F142" s="153" t="s">
        <v>302</v>
      </c>
      <c r="G142" s="616"/>
      <c r="H142" s="617"/>
      <c r="I142" s="618"/>
      <c r="J142" s="616"/>
      <c r="K142" s="617"/>
      <c r="L142" s="618"/>
      <c r="M142" s="255"/>
      <c r="N142" s="256"/>
      <c r="O142" s="388"/>
      <c r="P142" s="185">
        <f t="shared" ref="P142" si="127">IF(F140="",0,1)</f>
        <v>0</v>
      </c>
      <c r="R142" s="185" t="str">
        <f t="shared" ref="R142" si="128">E142</f>
        <v/>
      </c>
      <c r="S142" s="185" t="str">
        <f t="shared" ref="S142" si="129">E143</f>
        <v/>
      </c>
      <c r="T142" s="185" t="str">
        <f t="shared" ref="T142" si="130">E144</f>
        <v/>
      </c>
      <c r="U142" s="185" t="str">
        <f t="shared" ref="U142" si="131">E145</f>
        <v/>
      </c>
      <c r="V142" s="185" t="str">
        <f t="shared" ref="V142" si="132">E146</f>
        <v/>
      </c>
      <c r="W142" s="185" t="str">
        <f t="shared" ref="W142" si="133">E147</f>
        <v/>
      </c>
      <c r="X142" s="185" t="str">
        <f t="shared" ref="X142" si="134">E148</f>
        <v/>
      </c>
      <c r="AA142" s="50"/>
      <c r="AD142" s="244"/>
      <c r="AE142" s="355" t="str">
        <f>IF(OR(AM142="",AM142=0,AJ142="",AG142=""),"",
(IF(AND(AF140=$P$4,AM142&lt;=$R$4),$V$4,0)+IF(AND(AF140=$P$5,AM142&lt;=$R$5),$V$5,0)+IF(AND(AF140=$P$6,AM142&lt;=$R$6),$V$6,0)+IF(AND(AF140=$P$7,AM142&lt;=$R$7),$V$7,0))
)</f>
        <v/>
      </c>
      <c r="AF142" s="153" t="s">
        <v>302</v>
      </c>
      <c r="AG142" s="598"/>
      <c r="AH142" s="599"/>
      <c r="AI142" s="600"/>
      <c r="AJ142" s="598"/>
      <c r="AK142" s="599"/>
      <c r="AL142" s="600"/>
      <c r="AM142" s="384"/>
      <c r="AN142" s="256"/>
      <c r="AO142" s="388"/>
      <c r="AP142" s="185">
        <f t="shared" ref="AP142" si="135">IF(AF140="",0,1)</f>
        <v>0</v>
      </c>
      <c r="AR142" s="185" t="str">
        <f t="shared" ref="AR142" si="136">AE142</f>
        <v/>
      </c>
      <c r="AS142" s="185" t="str">
        <f t="shared" ref="AS142" si="137">AE143</f>
        <v/>
      </c>
      <c r="AT142" s="185" t="str">
        <f t="shared" ref="AT142" si="138">AE144</f>
        <v/>
      </c>
      <c r="AU142" s="185" t="str">
        <f t="shared" ref="AU142" si="139">AE145</f>
        <v/>
      </c>
      <c r="AV142" s="185" t="str">
        <f t="shared" ref="AV142" si="140">AE146</f>
        <v/>
      </c>
      <c r="AW142" s="185" t="str">
        <f t="shared" ref="AW142" si="141">AE147</f>
        <v/>
      </c>
      <c r="AX142" s="185" t="str">
        <f t="shared" ref="AX142" si="142">AE148</f>
        <v/>
      </c>
    </row>
    <row r="143" spans="4:50" ht="15" customHeight="1" x14ac:dyDescent="0.3">
      <c r="D143" s="244"/>
      <c r="E143" s="341" t="str">
        <f>IF(OR(M143="",M143=0,J143="",G143=""),"",
(IF(AND(F140=$P$4,M143&lt;=$R$4),$V$4,0)+IF(AND(F140=$P$5,M143&lt;=$R$5),$V$5,0)+IF(AND(F140=$P$6,M143&lt;=$R$6),$V$6,0)+IF(AND(F140=$P$7,M143&lt;=$R$7),$V$7,0))
)</f>
        <v/>
      </c>
      <c r="F143" s="153" t="s">
        <v>303</v>
      </c>
      <c r="G143" s="616"/>
      <c r="H143" s="617"/>
      <c r="I143" s="618"/>
      <c r="J143" s="616"/>
      <c r="K143" s="617"/>
      <c r="L143" s="618"/>
      <c r="M143" s="255"/>
      <c r="N143" s="256"/>
      <c r="O143" s="388"/>
      <c r="AA143" s="50"/>
      <c r="AD143" s="244"/>
      <c r="AE143" s="341" t="str">
        <f>IF(OR(AM143="",AM143=0,AJ143="",AG143=""),"",
(IF(AND(AF140=$P$4,AM143&lt;=$R$4),$V$4,0)+IF(AND(AF140=$P$5,AM143&lt;=$R$5),$V$5,0)+IF(AND(AF140=$P$6,AM143&lt;=$R$6),$V$6,0)+IF(AND(AF140=$P$7,AM143&lt;=$R$7),$V$7,0))
)</f>
        <v/>
      </c>
      <c r="AF143" s="153" t="s">
        <v>303</v>
      </c>
      <c r="AG143" s="598"/>
      <c r="AH143" s="599"/>
      <c r="AI143" s="600"/>
      <c r="AJ143" s="598"/>
      <c r="AK143" s="599"/>
      <c r="AL143" s="600"/>
      <c r="AM143" s="384"/>
      <c r="AN143" s="256"/>
      <c r="AO143" s="388"/>
    </row>
    <row r="144" spans="4:50" x14ac:dyDescent="0.3">
      <c r="D144" s="244"/>
      <c r="E144" s="341" t="str">
        <f>IF(OR(M144="",M144=0,J144="",G144=""),"",
(IF(AND(F140=$P$4,M144&lt;=$R$4),$V$4,0)+IF(AND(F140=$P$5,M144&lt;=$R$5),$V$5,0)+IF(AND(F140=$P$6,M144&lt;=$R$6),$V$6,0)+IF(AND(F140=$P$7,M144&lt;=$R$7),$V$7,0))
)</f>
        <v/>
      </c>
      <c r="F144" s="153" t="s">
        <v>304</v>
      </c>
      <c r="G144" s="616"/>
      <c r="H144" s="617"/>
      <c r="I144" s="618"/>
      <c r="J144" s="616"/>
      <c r="K144" s="617"/>
      <c r="L144" s="618"/>
      <c r="M144" s="255"/>
      <c r="N144" s="256"/>
      <c r="O144" s="388"/>
      <c r="AA144" s="50"/>
      <c r="AD144" s="244"/>
      <c r="AE144" s="341" t="str">
        <f>IF(OR(AM144="",AM144=0,AJ144="",AG144=""),"",
(IF(AND(AF140=$P$4,AM144&lt;=$R$4),$V$4,0)+IF(AND(AF140=$P$5,AM144&lt;=$R$5),$V$5,0)+IF(AND(AF140=$P$6,AM144&lt;=$R$6),$V$6,0)+IF(AND(AF140=$P$7,AM144&lt;=$R$7),$V$7,0))
)</f>
        <v/>
      </c>
      <c r="AF144" s="153" t="s">
        <v>304</v>
      </c>
      <c r="AG144" s="598"/>
      <c r="AH144" s="599"/>
      <c r="AI144" s="600"/>
      <c r="AJ144" s="598"/>
      <c r="AK144" s="599"/>
      <c r="AL144" s="600"/>
      <c r="AM144" s="384"/>
      <c r="AN144" s="256"/>
      <c r="AO144" s="388"/>
    </row>
    <row r="145" spans="4:50" x14ac:dyDescent="0.3">
      <c r="D145" s="244"/>
      <c r="E145" s="341" t="str">
        <f>IF(OR(M145="",M145=0,J145="",G145=""),"",
(IF(AND(F140=$P$4,M145&lt;=$R$4),$V$4,0)+IF(AND(F140=$P$5,M145&lt;=$R$5),$V$5,0)+IF(AND(F140=$P$6,M145&lt;=$R$6),$V$6,0)+IF(AND(F140=$P$7,M145&lt;=$R$7),$V$7,0))
)</f>
        <v/>
      </c>
      <c r="F145" s="153" t="s">
        <v>305</v>
      </c>
      <c r="G145" s="616"/>
      <c r="H145" s="617"/>
      <c r="I145" s="618"/>
      <c r="J145" s="616"/>
      <c r="K145" s="617"/>
      <c r="L145" s="618"/>
      <c r="M145" s="255"/>
      <c r="N145" s="256"/>
      <c r="O145" s="388"/>
      <c r="AA145" s="50"/>
      <c r="AD145" s="244"/>
      <c r="AE145" s="341" t="str">
        <f>IF(OR(AM145="",AM145=0,AJ145="",AG145=""),"",
(IF(AND(AF140=$P$4,AM145&lt;=$R$4),$V$4,0)+IF(AND(AF140=$P$5,AM145&lt;=$R$5),$V$5,0)+IF(AND(AF140=$P$6,AM145&lt;=$R$6),$V$6,0)+IF(AND(AF140=$P$7,AM145&lt;=$R$7),$V$7,0))
)</f>
        <v/>
      </c>
      <c r="AF145" s="153" t="s">
        <v>305</v>
      </c>
      <c r="AG145" s="598"/>
      <c r="AH145" s="599"/>
      <c r="AI145" s="600"/>
      <c r="AJ145" s="598"/>
      <c r="AK145" s="599"/>
      <c r="AL145" s="600"/>
      <c r="AM145" s="384"/>
      <c r="AN145" s="256"/>
      <c r="AO145" s="388"/>
    </row>
    <row r="146" spans="4:50" x14ac:dyDescent="0.3">
      <c r="D146" s="244"/>
      <c r="E146" s="341" t="str">
        <f>IF(OR(M146="",M146=0,J146="",G146=""),"",
(IF(AND(F140=$P$4,M146&lt;=$R$4),$V$4,0)+IF(AND(F140=$P$5,M146&lt;=$R$5),$V$5,0)+IF(AND(F140=$P$6,M146&lt;=$R$6),$V$6,0)+IF(AND(F140=$P$7,M146&lt;=$R$7),$V$7,0))
)</f>
        <v/>
      </c>
      <c r="F146" s="153" t="s">
        <v>306</v>
      </c>
      <c r="G146" s="616"/>
      <c r="H146" s="617"/>
      <c r="I146" s="618"/>
      <c r="J146" s="616"/>
      <c r="K146" s="617"/>
      <c r="L146" s="618"/>
      <c r="M146" s="255"/>
      <c r="N146" s="256"/>
      <c r="O146" s="388"/>
      <c r="AA146" s="50"/>
      <c r="AD146" s="244"/>
      <c r="AE146" s="341" t="str">
        <f>IF(OR(AM146="",AM146=0,AJ146="",AG146=""),"",
(IF(AND(AF140=$P$4,AM146&lt;=$R$4),$V$4,0)+IF(AND(AF140=$P$5,AM146&lt;=$R$5),$V$5,0)+IF(AND(AF140=$P$6,AM146&lt;=$R$6),$V$6,0)+IF(AND(AF140=$P$7,AM146&lt;=$R$7),$V$7,0))
)</f>
        <v/>
      </c>
      <c r="AF146" s="153" t="s">
        <v>306</v>
      </c>
      <c r="AG146" s="598"/>
      <c r="AH146" s="599"/>
      <c r="AI146" s="600"/>
      <c r="AJ146" s="598"/>
      <c r="AK146" s="599"/>
      <c r="AL146" s="600"/>
      <c r="AM146" s="384"/>
      <c r="AN146" s="256"/>
      <c r="AO146" s="388"/>
    </row>
    <row r="147" spans="4:50" x14ac:dyDescent="0.3">
      <c r="D147" s="244"/>
      <c r="E147" s="341" t="str">
        <f>IF(OR(M147="",M147=0,J147="",G147=""),"",
(IF(AND(F140=$P$4,M147&lt;=$R$4),$V$4,0)+IF(AND(F140=$P$5,M147&lt;=$R$5),$V$5,0)+IF(AND(F140=$P$6,M147&lt;=$R$6),$V$6,0)+IF(AND(F140=$P$7,M147&lt;=$R$7),$V$7,0))
)</f>
        <v/>
      </c>
      <c r="F147" s="153" t="s">
        <v>307</v>
      </c>
      <c r="G147" s="616"/>
      <c r="H147" s="617"/>
      <c r="I147" s="618"/>
      <c r="J147" s="616"/>
      <c r="K147" s="617"/>
      <c r="L147" s="618"/>
      <c r="M147" s="255"/>
      <c r="N147" s="256"/>
      <c r="O147" s="388"/>
      <c r="AA147" s="50"/>
      <c r="AD147" s="244"/>
      <c r="AE147" s="341" t="str">
        <f>IF(OR(AM147="",AM147=0,AJ147="",AG147=""),"",
(IF(AND(AF140=$P$4,AM147&lt;=$R$4),$V$4,0)+IF(AND(AF140=$P$5,AM147&lt;=$R$5),$V$5,0)+IF(AND(AF140=$P$6,AM147&lt;=$R$6),$V$6,0)+IF(AND(AF140=$P$7,AM147&lt;=$R$7),$V$7,0))
)</f>
        <v/>
      </c>
      <c r="AF147" s="153" t="s">
        <v>307</v>
      </c>
      <c r="AG147" s="598"/>
      <c r="AH147" s="599"/>
      <c r="AI147" s="600"/>
      <c r="AJ147" s="598"/>
      <c r="AK147" s="599"/>
      <c r="AL147" s="600"/>
      <c r="AM147" s="384"/>
      <c r="AN147" s="256"/>
      <c r="AO147" s="388"/>
    </row>
    <row r="148" spans="4:50" x14ac:dyDescent="0.3">
      <c r="D148" s="244"/>
      <c r="E148" s="341" t="str">
        <f>IF(OR(M148="",M148=0,J148="",G148=""),"",
(IF(AND(F140=$P$4,M148&lt;=$R$4),$V$4,0)+IF(AND(F140=$P$5,M148&lt;=$R$5),$V$5,0)+IF(AND(F140=$P$6,M148&lt;=$R$6),$V$6,0)+IF(AND(F140=$P$7,M148&lt;=$R$7),$V$7,0))
)</f>
        <v/>
      </c>
      <c r="F148" s="153" t="s">
        <v>308</v>
      </c>
      <c r="G148" s="616"/>
      <c r="H148" s="617"/>
      <c r="I148" s="618"/>
      <c r="J148" s="616"/>
      <c r="K148" s="617"/>
      <c r="L148" s="618"/>
      <c r="M148" s="255"/>
      <c r="N148" s="256"/>
      <c r="O148" s="388"/>
      <c r="AA148" s="50"/>
      <c r="AD148" s="244"/>
      <c r="AE148" s="341" t="str">
        <f>IF(OR(AM148="",AM148=0,AJ148="",AG148=""),"",
(IF(AND(AF140=$P$4,AM148&lt;=$R$4),$V$4,0)+IF(AND(AF140=$P$5,AM148&lt;=$R$5),$V$5,0)+IF(AND(AF140=$P$6,AM148&lt;=$R$6),$V$6,0)+IF(AND(AF140=$P$7,AM148&lt;=$R$7),$V$7,0))
)</f>
        <v/>
      </c>
      <c r="AF148" s="153" t="s">
        <v>308</v>
      </c>
      <c r="AG148" s="598"/>
      <c r="AH148" s="599"/>
      <c r="AI148" s="600"/>
      <c r="AJ148" s="598"/>
      <c r="AK148" s="599"/>
      <c r="AL148" s="600"/>
      <c r="AM148" s="384"/>
      <c r="AN148" s="256"/>
      <c r="AO148" s="388"/>
    </row>
    <row r="149" spans="4:50" ht="15" customHeight="1" thickBot="1" x14ac:dyDescent="0.35">
      <c r="D149" s="203"/>
      <c r="E149" s="3"/>
      <c r="F149" s="3"/>
      <c r="G149" s="3"/>
      <c r="H149" s="3"/>
      <c r="I149" s="3"/>
      <c r="J149" s="3"/>
      <c r="K149" s="3"/>
      <c r="L149" s="3"/>
      <c r="M149" s="3"/>
      <c r="N149" s="204"/>
      <c r="P149" s="2"/>
      <c r="AA149" s="50"/>
      <c r="AD149" s="203"/>
      <c r="AE149" s="3"/>
      <c r="AF149" s="3"/>
      <c r="AG149" s="3"/>
      <c r="AH149" s="3"/>
      <c r="AI149" s="3"/>
      <c r="AJ149" s="3"/>
      <c r="AK149" s="3"/>
      <c r="AL149" s="3"/>
      <c r="AM149" s="3"/>
      <c r="AN149" s="204"/>
      <c r="AP149" s="2"/>
    </row>
    <row r="150" spans="4:50" ht="15" customHeight="1" x14ac:dyDescent="0.3">
      <c r="D150" s="601" t="str">
        <f>IF(
OR(
OR(F152=$P$4,F152=$P$5,F152=$P$6,F152=$P$7),AND(G154="",G155="",G156="",G157="",G158="",G159="",G160="",J154="",J155="",J156="",J157="",J158="",J159="",J160="",M154="",M155="",M156="",M157="",M158="",M159="",M160="",K151="",K152="")
),
"",
"A Set-Aside must be selected."
)</f>
        <v/>
      </c>
      <c r="E150" s="602"/>
      <c r="F150" s="602"/>
      <c r="G150" s="602"/>
      <c r="H150" s="602"/>
      <c r="I150" s="602"/>
      <c r="J150" s="602"/>
      <c r="K150" s="602"/>
      <c r="L150" s="602"/>
      <c r="M150" s="602"/>
      <c r="N150" s="603"/>
      <c r="O150" s="2"/>
      <c r="AA150" s="50"/>
      <c r="AD150" s="601" t="str">
        <f>IF(
OR(
OR(AF152=$P$4,AF152=$P$5,AF152=$P$6,AF152=$P$7),AND(AG154="",AG155="",AG156="",AG157="",AG158="",AG159="",AG160="",AJ154="",AJ155="",AJ156="",AJ157="",AJ158="",AJ159="",AJ160="",AM154="",AM155="",AM156="",AM157="",AM158="",AM159="",AM160="",AK151="",AK152="")
),
"",
"A Set-Aside must be selected."
)</f>
        <v/>
      </c>
      <c r="AE150" s="602"/>
      <c r="AF150" s="602"/>
      <c r="AG150" s="602"/>
      <c r="AH150" s="602"/>
      <c r="AI150" s="602"/>
      <c r="AJ150" s="602"/>
      <c r="AK150" s="602"/>
      <c r="AL150" s="602"/>
      <c r="AM150" s="602"/>
      <c r="AN150" s="603"/>
      <c r="AO150" s="2"/>
    </row>
    <row r="151" spans="4:50" ht="15" customHeight="1" x14ac:dyDescent="0.3">
      <c r="D151" s="199"/>
      <c r="E151" s="9" t="s">
        <v>30</v>
      </c>
      <c r="F151" s="86">
        <f>F139+1</f>
        <v>10</v>
      </c>
      <c r="G151" s="9" t="s">
        <v>175</v>
      </c>
      <c r="H151" s="9"/>
      <c r="I151" s="9"/>
      <c r="J151" s="168" t="s">
        <v>111</v>
      </c>
      <c r="K151" s="148"/>
      <c r="N151" s="200"/>
      <c r="R151" s="596" t="s">
        <v>302</v>
      </c>
      <c r="S151" s="596" t="s">
        <v>303</v>
      </c>
      <c r="T151" s="596" t="s">
        <v>304</v>
      </c>
      <c r="U151" s="596" t="s">
        <v>305</v>
      </c>
      <c r="V151" s="596" t="s">
        <v>306</v>
      </c>
      <c r="W151" s="596" t="s">
        <v>307</v>
      </c>
      <c r="X151" s="596" t="s">
        <v>308</v>
      </c>
      <c r="AA151" s="50"/>
      <c r="AD151" s="199"/>
      <c r="AE151" s="9" t="s">
        <v>30</v>
      </c>
      <c r="AF151" s="86">
        <f>AF139+1</f>
        <v>10</v>
      </c>
      <c r="AG151" s="9" t="s">
        <v>175</v>
      </c>
      <c r="AH151" s="9"/>
      <c r="AI151" s="9"/>
      <c r="AJ151" s="168" t="s">
        <v>111</v>
      </c>
      <c r="AK151" s="382"/>
      <c r="AN151" s="200"/>
      <c r="AR151" s="596" t="s">
        <v>302</v>
      </c>
      <c r="AS151" s="596" t="s">
        <v>303</v>
      </c>
      <c r="AT151" s="596" t="s">
        <v>304</v>
      </c>
      <c r="AU151" s="596" t="s">
        <v>305</v>
      </c>
      <c r="AV151" s="596" t="s">
        <v>306</v>
      </c>
      <c r="AW151" s="596" t="s">
        <v>307</v>
      </c>
      <c r="AX151" s="596" t="s">
        <v>308</v>
      </c>
    </row>
    <row r="152" spans="4:50" ht="15" customHeight="1" x14ac:dyDescent="0.3">
      <c r="D152" s="604" t="s">
        <v>31</v>
      </c>
      <c r="E152" s="594"/>
      <c r="F152" s="151"/>
      <c r="G152" s="86" t="str">
        <f>IF(F152=$P$4,$Q$4,IF(F152=$P$5,$Q$5,IF(F152=$P$6,$Q$6,IF(F152=$P$7,Q$7,IF(F152=$P$8,"","")))))</f>
        <v/>
      </c>
      <c r="H152" s="201"/>
      <c r="I152" s="201"/>
      <c r="J152" s="168" t="s">
        <v>112</v>
      </c>
      <c r="K152" s="148"/>
      <c r="N152" s="200"/>
      <c r="R152" s="596"/>
      <c r="S152" s="596"/>
      <c r="T152" s="596"/>
      <c r="U152" s="596"/>
      <c r="V152" s="596"/>
      <c r="W152" s="596"/>
      <c r="X152" s="596"/>
      <c r="AA152" s="50"/>
      <c r="AD152" s="604" t="s">
        <v>31</v>
      </c>
      <c r="AE152" s="594"/>
      <c r="AF152" s="383"/>
      <c r="AG152" s="86" t="str">
        <f>IF(AF152=$P$4,$Q$4,IF(AF152=$P$5,$Q$5,IF(AF152=$P$6,$Q$6,IF(AF152=$P$7,AQ$7,IF(AF152=$P$8,"","")))))</f>
        <v/>
      </c>
      <c r="AH152" s="201"/>
      <c r="AI152" s="201"/>
      <c r="AJ152" s="168" t="s">
        <v>112</v>
      </c>
      <c r="AK152" s="382"/>
      <c r="AN152" s="200"/>
      <c r="AR152" s="596"/>
      <c r="AS152" s="596"/>
      <c r="AT152" s="596"/>
      <c r="AU152" s="596"/>
      <c r="AV152" s="596"/>
      <c r="AW152" s="596"/>
      <c r="AX152" s="596"/>
    </row>
    <row r="153" spans="4:50" ht="15" customHeight="1" x14ac:dyDescent="0.3">
      <c r="D153" s="244"/>
      <c r="E153" s="230" t="s">
        <v>52</v>
      </c>
      <c r="F153" s="9" t="s">
        <v>32</v>
      </c>
      <c r="G153" s="9" t="s">
        <v>33</v>
      </c>
      <c r="H153" s="9"/>
      <c r="I153" s="9"/>
      <c r="J153" s="9" t="s">
        <v>34</v>
      </c>
      <c r="K153" s="9"/>
      <c r="L153" s="9"/>
      <c r="M153" s="257" t="s">
        <v>35</v>
      </c>
      <c r="N153" s="202"/>
      <c r="O153" s="9"/>
      <c r="P153" s="198" t="s">
        <v>22</v>
      </c>
      <c r="Q153" s="198"/>
      <c r="R153" s="596"/>
      <c r="S153" s="596"/>
      <c r="T153" s="596"/>
      <c r="U153" s="596"/>
      <c r="V153" s="596"/>
      <c r="W153" s="596"/>
      <c r="X153" s="596"/>
      <c r="AA153" s="50"/>
      <c r="AD153" s="244"/>
      <c r="AE153" s="230" t="s">
        <v>52</v>
      </c>
      <c r="AF153" s="9" t="s">
        <v>32</v>
      </c>
      <c r="AG153" s="9" t="s">
        <v>33</v>
      </c>
      <c r="AH153" s="9"/>
      <c r="AI153" s="9"/>
      <c r="AJ153" s="9" t="s">
        <v>34</v>
      </c>
      <c r="AK153" s="9"/>
      <c r="AL153" s="9"/>
      <c r="AM153" s="257" t="s">
        <v>35</v>
      </c>
      <c r="AN153" s="202"/>
      <c r="AO153" s="9"/>
      <c r="AP153" s="198" t="s">
        <v>22</v>
      </c>
      <c r="AQ153" s="198"/>
      <c r="AR153" s="596"/>
      <c r="AS153" s="596"/>
      <c r="AT153" s="596"/>
      <c r="AU153" s="596"/>
      <c r="AV153" s="596"/>
      <c r="AW153" s="596"/>
      <c r="AX153" s="596"/>
    </row>
    <row r="154" spans="4:50" ht="15" customHeight="1" x14ac:dyDescent="0.3">
      <c r="D154" s="244"/>
      <c r="E154" s="355" t="str">
        <f>IF(OR(M154="",M154=0,J154="",G154=""),"",
(IF(AND(F152=$P$4,M154&lt;=$R$4),$V$4,0)+IF(AND(F152=$P$5,M154&lt;=$R$5),$V$5,0)+IF(AND(F152=$P$6,M154&lt;=$R$6),$V$6,0)+IF(AND(F152=$P$7,M154&lt;=$R$7),$V$7,0))
)</f>
        <v/>
      </c>
      <c r="F154" s="153" t="s">
        <v>302</v>
      </c>
      <c r="G154" s="616"/>
      <c r="H154" s="617"/>
      <c r="I154" s="618"/>
      <c r="J154" s="616"/>
      <c r="K154" s="617"/>
      <c r="L154" s="618"/>
      <c r="M154" s="255"/>
      <c r="N154" s="256"/>
      <c r="O154" s="388"/>
      <c r="P154" s="185">
        <f t="shared" ref="P154" si="143">IF(F152="",0,1)</f>
        <v>0</v>
      </c>
      <c r="R154" s="185" t="str">
        <f t="shared" ref="R154" si="144">E154</f>
        <v/>
      </c>
      <c r="S154" s="185" t="str">
        <f t="shared" ref="S154" si="145">E155</f>
        <v/>
      </c>
      <c r="T154" s="185" t="str">
        <f t="shared" ref="T154" si="146">E156</f>
        <v/>
      </c>
      <c r="U154" s="185" t="str">
        <f t="shared" ref="U154" si="147">E157</f>
        <v/>
      </c>
      <c r="V154" s="185" t="str">
        <f t="shared" ref="V154" si="148">E158</f>
        <v/>
      </c>
      <c r="W154" s="185" t="str">
        <f t="shared" ref="W154" si="149">E159</f>
        <v/>
      </c>
      <c r="X154" s="185" t="str">
        <f t="shared" ref="X154" si="150">E160</f>
        <v/>
      </c>
      <c r="AA154" s="50"/>
      <c r="AD154" s="244"/>
      <c r="AE154" s="355" t="str">
        <f>IF(OR(AM154="",AM154=0,AJ154="",AG154=""),"",
(IF(AND(AF152=$P$4,AM154&lt;=$R$4),$V$4,0)+IF(AND(AF152=$P$5,AM154&lt;=$R$5),$V$5,0)+IF(AND(AF152=$P$6,AM154&lt;=$R$6),$V$6,0)+IF(AND(AF152=$P$7,AM154&lt;=$R$7),$V$7,0))
)</f>
        <v/>
      </c>
      <c r="AF154" s="153" t="s">
        <v>302</v>
      </c>
      <c r="AG154" s="598"/>
      <c r="AH154" s="599"/>
      <c r="AI154" s="600"/>
      <c r="AJ154" s="598"/>
      <c r="AK154" s="599"/>
      <c r="AL154" s="600"/>
      <c r="AM154" s="384"/>
      <c r="AN154" s="256"/>
      <c r="AO154" s="388"/>
      <c r="AP154" s="185">
        <f t="shared" ref="AP154" si="151">IF(AF152="",0,1)</f>
        <v>0</v>
      </c>
      <c r="AR154" s="185" t="str">
        <f t="shared" ref="AR154" si="152">AE154</f>
        <v/>
      </c>
      <c r="AS154" s="185" t="str">
        <f t="shared" ref="AS154" si="153">AE155</f>
        <v/>
      </c>
      <c r="AT154" s="185" t="str">
        <f t="shared" ref="AT154" si="154">AE156</f>
        <v/>
      </c>
      <c r="AU154" s="185" t="str">
        <f t="shared" ref="AU154" si="155">AE157</f>
        <v/>
      </c>
      <c r="AV154" s="185" t="str">
        <f t="shared" ref="AV154" si="156">AE158</f>
        <v/>
      </c>
      <c r="AW154" s="185" t="str">
        <f t="shared" ref="AW154" si="157">AE159</f>
        <v/>
      </c>
      <c r="AX154" s="185" t="str">
        <f t="shared" ref="AX154" si="158">AE160</f>
        <v/>
      </c>
    </row>
    <row r="155" spans="4:50" ht="15" customHeight="1" x14ac:dyDescent="0.3">
      <c r="D155" s="244"/>
      <c r="E155" s="341" t="str">
        <f>IF(OR(M155="",M155=0,J155="",G155=""),"",
(IF(AND(F152=$P$4,M155&lt;=$R$4),$V$4,0)+IF(AND(F152=$P$5,M155&lt;=$R$5),$V$5,0)+IF(AND(F152=$P$6,M155&lt;=$R$6),$V$6,0)+IF(AND(F152=$P$7,M155&lt;=$R$7),$V$7,0))
)</f>
        <v/>
      </c>
      <c r="F155" s="153" t="s">
        <v>303</v>
      </c>
      <c r="G155" s="616"/>
      <c r="H155" s="617"/>
      <c r="I155" s="618"/>
      <c r="J155" s="616"/>
      <c r="K155" s="617"/>
      <c r="L155" s="618"/>
      <c r="M155" s="255"/>
      <c r="N155" s="256"/>
      <c r="O155" s="388"/>
      <c r="AA155" s="50"/>
      <c r="AD155" s="244"/>
      <c r="AE155" s="341" t="str">
        <f>IF(OR(AM155="",AM155=0,AJ155="",AG155=""),"",
(IF(AND(AF152=$P$4,AM155&lt;=$R$4),$V$4,0)+IF(AND(AF152=$P$5,AM155&lt;=$R$5),$V$5,0)+IF(AND(AF152=$P$6,AM155&lt;=$R$6),$V$6,0)+IF(AND(AF152=$P$7,AM155&lt;=$R$7),$V$7,0))
)</f>
        <v/>
      </c>
      <c r="AF155" s="153" t="s">
        <v>303</v>
      </c>
      <c r="AG155" s="598"/>
      <c r="AH155" s="599"/>
      <c r="AI155" s="600"/>
      <c r="AJ155" s="598"/>
      <c r="AK155" s="599"/>
      <c r="AL155" s="600"/>
      <c r="AM155" s="384"/>
      <c r="AN155" s="256"/>
      <c r="AO155" s="388"/>
    </row>
    <row r="156" spans="4:50" ht="15" customHeight="1" x14ac:dyDescent="0.3">
      <c r="D156" s="244"/>
      <c r="E156" s="341" t="str">
        <f>IF(OR(M156="",M156=0,J156="",G156=""),"",
(IF(AND(F152=$P$4,M156&lt;=$R$4),$V$4,0)+IF(AND(F152=$P$5,M156&lt;=$R$5),$V$5,0)+IF(AND(F152=$P$6,M156&lt;=$R$6),$V$6,0)+IF(AND(F152=$P$7,M156&lt;=$R$7),$V$7,0))
)</f>
        <v/>
      </c>
      <c r="F156" s="153" t="s">
        <v>304</v>
      </c>
      <c r="G156" s="616"/>
      <c r="H156" s="617"/>
      <c r="I156" s="618"/>
      <c r="J156" s="616"/>
      <c r="K156" s="617"/>
      <c r="L156" s="618"/>
      <c r="M156" s="255"/>
      <c r="N156" s="256"/>
      <c r="O156" s="388"/>
      <c r="AA156" s="50"/>
      <c r="AD156" s="244"/>
      <c r="AE156" s="341" t="str">
        <f>IF(OR(AM156="",AM156=0,AJ156="",AG156=""),"",
(IF(AND(AF152=$P$4,AM156&lt;=$R$4),$V$4,0)+IF(AND(AF152=$P$5,AM156&lt;=$R$5),$V$5,0)+IF(AND(AF152=$P$6,AM156&lt;=$R$6),$V$6,0)+IF(AND(AF152=$P$7,AM156&lt;=$R$7),$V$7,0))
)</f>
        <v/>
      </c>
      <c r="AF156" s="153" t="s">
        <v>304</v>
      </c>
      <c r="AG156" s="598"/>
      <c r="AH156" s="599"/>
      <c r="AI156" s="600"/>
      <c r="AJ156" s="598"/>
      <c r="AK156" s="599"/>
      <c r="AL156" s="600"/>
      <c r="AM156" s="384"/>
      <c r="AN156" s="256"/>
      <c r="AO156" s="388"/>
    </row>
    <row r="157" spans="4:50" x14ac:dyDescent="0.3">
      <c r="D157" s="244"/>
      <c r="E157" s="341" t="str">
        <f>IF(OR(M157="",M157=0,J157="",G157=""),"",
(IF(AND(F152=$P$4,M157&lt;=$R$4),$V$4,0)+IF(AND(F152=$P$5,M157&lt;=$R$5),$V$5,0)+IF(AND(F152=$P$6,M157&lt;=$R$6),$V$6,0)+IF(AND(F152=$P$7,M157&lt;=$R$7),$V$7,0))
)</f>
        <v/>
      </c>
      <c r="F157" s="153" t="s">
        <v>305</v>
      </c>
      <c r="G157" s="616"/>
      <c r="H157" s="617"/>
      <c r="I157" s="618"/>
      <c r="J157" s="616"/>
      <c r="K157" s="617"/>
      <c r="L157" s="618"/>
      <c r="M157" s="255"/>
      <c r="N157" s="256"/>
      <c r="O157" s="388"/>
      <c r="AA157" s="50"/>
      <c r="AD157" s="244"/>
      <c r="AE157" s="341" t="str">
        <f>IF(OR(AM157="",AM157=0,AJ157="",AG157=""),"",
(IF(AND(AF152=$P$4,AM157&lt;=$R$4),$V$4,0)+IF(AND(AF152=$P$5,AM157&lt;=$R$5),$V$5,0)+IF(AND(AF152=$P$6,AM157&lt;=$R$6),$V$6,0)+IF(AND(AF152=$P$7,AM157&lt;=$R$7),$V$7,0))
)</f>
        <v/>
      </c>
      <c r="AF157" s="153" t="s">
        <v>305</v>
      </c>
      <c r="AG157" s="598"/>
      <c r="AH157" s="599"/>
      <c r="AI157" s="600"/>
      <c r="AJ157" s="598"/>
      <c r="AK157" s="599"/>
      <c r="AL157" s="600"/>
      <c r="AM157" s="384"/>
      <c r="AN157" s="256"/>
      <c r="AO157" s="388"/>
    </row>
    <row r="158" spans="4:50" x14ac:dyDescent="0.3">
      <c r="D158" s="244"/>
      <c r="E158" s="341" t="str">
        <f>IF(OR(M158="",M158=0,J158="",G158=""),"",
(IF(AND(F152=$P$4,M158&lt;=$R$4),$V$4,0)+IF(AND(F152=$P$5,M158&lt;=$R$5),$V$5,0)+IF(AND(F152=$P$6,M158&lt;=$R$6),$V$6,0)+IF(AND(F152=$P$7,M158&lt;=$R$7),$V$7,0))
)</f>
        <v/>
      </c>
      <c r="F158" s="153" t="s">
        <v>306</v>
      </c>
      <c r="G158" s="616"/>
      <c r="H158" s="617"/>
      <c r="I158" s="618"/>
      <c r="J158" s="616"/>
      <c r="K158" s="617"/>
      <c r="L158" s="618"/>
      <c r="M158" s="255"/>
      <c r="N158" s="256"/>
      <c r="O158" s="388"/>
      <c r="AA158" s="50"/>
      <c r="AD158" s="244"/>
      <c r="AE158" s="341" t="str">
        <f>IF(OR(AM158="",AM158=0,AJ158="",AG158=""),"",
(IF(AND(AF152=$P$4,AM158&lt;=$R$4),$V$4,0)+IF(AND(AF152=$P$5,AM158&lt;=$R$5),$V$5,0)+IF(AND(AF152=$P$6,AM158&lt;=$R$6),$V$6,0)+IF(AND(AF152=$P$7,AM158&lt;=$R$7),$V$7,0))
)</f>
        <v/>
      </c>
      <c r="AF158" s="153" t="s">
        <v>306</v>
      </c>
      <c r="AG158" s="598"/>
      <c r="AH158" s="599"/>
      <c r="AI158" s="600"/>
      <c r="AJ158" s="598"/>
      <c r="AK158" s="599"/>
      <c r="AL158" s="600"/>
      <c r="AM158" s="384"/>
      <c r="AN158" s="256"/>
      <c r="AO158" s="388"/>
    </row>
    <row r="159" spans="4:50" x14ac:dyDescent="0.3">
      <c r="D159" s="244"/>
      <c r="E159" s="341" t="str">
        <f>IF(OR(M159="",M159=0,J159="",G159=""),"",
(IF(AND(F152=$P$4,M159&lt;=$R$4),$V$4,0)+IF(AND(F152=$P$5,M159&lt;=$R$5),$V$5,0)+IF(AND(F152=$P$6,M159&lt;=$R$6),$V$6,0)+IF(AND(F152=$P$7,M159&lt;=$R$7),$V$7,0))
)</f>
        <v/>
      </c>
      <c r="F159" s="153" t="s">
        <v>307</v>
      </c>
      <c r="G159" s="616"/>
      <c r="H159" s="617"/>
      <c r="I159" s="618"/>
      <c r="J159" s="616"/>
      <c r="K159" s="617"/>
      <c r="L159" s="618"/>
      <c r="M159" s="255"/>
      <c r="N159" s="256"/>
      <c r="O159" s="388"/>
      <c r="AA159" s="50"/>
      <c r="AD159" s="244"/>
      <c r="AE159" s="341" t="str">
        <f>IF(OR(AM159="",AM159=0,AJ159="",AG159=""),"",
(IF(AND(AF152=$P$4,AM159&lt;=$R$4),$V$4,0)+IF(AND(AF152=$P$5,AM159&lt;=$R$5),$V$5,0)+IF(AND(AF152=$P$6,AM159&lt;=$R$6),$V$6,0)+IF(AND(AF152=$P$7,AM159&lt;=$R$7),$V$7,0))
)</f>
        <v/>
      </c>
      <c r="AF159" s="153" t="s">
        <v>307</v>
      </c>
      <c r="AG159" s="598"/>
      <c r="AH159" s="599"/>
      <c r="AI159" s="600"/>
      <c r="AJ159" s="598"/>
      <c r="AK159" s="599"/>
      <c r="AL159" s="600"/>
      <c r="AM159" s="384"/>
      <c r="AN159" s="256"/>
      <c r="AO159" s="388"/>
    </row>
    <row r="160" spans="4:50" x14ac:dyDescent="0.3">
      <c r="D160" s="244"/>
      <c r="E160" s="341" t="str">
        <f>IF(OR(M160="",M160=0,J160="",G160=""),"",
(IF(AND(F152=$P$4,M160&lt;=$R$4),$V$4,0)+IF(AND(F152=$P$5,M160&lt;=$R$5),$V$5,0)+IF(AND(F152=$P$6,M160&lt;=$R$6),$V$6,0)+IF(AND(F152=$P$7,M160&lt;=$R$7),$V$7,0))
)</f>
        <v/>
      </c>
      <c r="F160" s="153" t="s">
        <v>308</v>
      </c>
      <c r="G160" s="616"/>
      <c r="H160" s="617"/>
      <c r="I160" s="618"/>
      <c r="J160" s="616"/>
      <c r="K160" s="617"/>
      <c r="L160" s="618"/>
      <c r="M160" s="255"/>
      <c r="N160" s="256"/>
      <c r="O160" s="388"/>
      <c r="AA160" s="50"/>
      <c r="AD160" s="244"/>
      <c r="AE160" s="341" t="str">
        <f>IF(OR(AM160="",AM160=0,AJ160="",AG160=""),"",
(IF(AND(AF152=$P$4,AM160&lt;=$R$4),$V$4,0)+IF(AND(AF152=$P$5,AM160&lt;=$R$5),$V$5,0)+IF(AND(AF152=$P$6,AM160&lt;=$R$6),$V$6,0)+IF(AND(AF152=$P$7,AM160&lt;=$R$7),$V$7,0))
)</f>
        <v/>
      </c>
      <c r="AF160" s="153" t="s">
        <v>308</v>
      </c>
      <c r="AG160" s="598"/>
      <c r="AH160" s="599"/>
      <c r="AI160" s="600"/>
      <c r="AJ160" s="598"/>
      <c r="AK160" s="599"/>
      <c r="AL160" s="600"/>
      <c r="AM160" s="384"/>
      <c r="AN160" s="256"/>
      <c r="AO160" s="388"/>
    </row>
    <row r="161" spans="4:50" ht="16.2" thickBot="1" x14ac:dyDescent="0.35">
      <c r="D161" s="203"/>
      <c r="E161" s="3"/>
      <c r="F161" s="3"/>
      <c r="G161" s="3"/>
      <c r="H161" s="3"/>
      <c r="I161" s="3"/>
      <c r="J161" s="3"/>
      <c r="K161" s="3"/>
      <c r="L161" s="3"/>
      <c r="M161" s="3"/>
      <c r="N161" s="204"/>
      <c r="P161" s="2"/>
      <c r="AA161" s="50"/>
      <c r="AD161" s="203"/>
      <c r="AE161" s="3"/>
      <c r="AF161" s="3"/>
      <c r="AG161" s="3"/>
      <c r="AH161" s="3"/>
      <c r="AI161" s="3"/>
      <c r="AJ161" s="3"/>
      <c r="AK161" s="3"/>
      <c r="AL161" s="3"/>
      <c r="AM161" s="3"/>
      <c r="AN161" s="204"/>
      <c r="AP161" s="2"/>
    </row>
    <row r="162" spans="4:50" ht="15" customHeight="1" x14ac:dyDescent="0.3">
      <c r="D162" s="601" t="str">
        <f>IF(
OR(
OR(F164=$P$4,F164=$P$5,F164=$P$6,F164=$P$7),AND(G166="",G167="",G168="",G169="",G170="",G171="",G172="",J166="",J167="",J168="",J169="",J170="",J171="",J172="",M166="",M167="",M168="",M169="",M170="",M171="",M172="",K163="",K164="")
),
"",
"A Set-Aside must be selected."
)</f>
        <v/>
      </c>
      <c r="E162" s="602"/>
      <c r="F162" s="602"/>
      <c r="G162" s="602"/>
      <c r="H162" s="602"/>
      <c r="I162" s="602"/>
      <c r="J162" s="602"/>
      <c r="K162" s="602"/>
      <c r="L162" s="602"/>
      <c r="M162" s="602"/>
      <c r="N162" s="603"/>
      <c r="O162" s="2"/>
      <c r="AA162" s="50"/>
      <c r="AD162" s="601" t="str">
        <f>IF(
OR(
OR(AF164=$P$4,AF164=$P$5,AF164=$P$6,AF164=$P$7),AND(AG166="",AG167="",AG168="",AG169="",AG170="",AG171="",AG172="",AJ166="",AJ167="",AJ168="",AJ169="",AJ170="",AJ171="",AJ172="",AM166="",AM167="",AM168="",AM169="",AM170="",AM171="",AM172="",AK163="",AK164="")
),
"",
"A Set-Aside must be selected."
)</f>
        <v/>
      </c>
      <c r="AE162" s="602"/>
      <c r="AF162" s="602"/>
      <c r="AG162" s="602"/>
      <c r="AH162" s="602"/>
      <c r="AI162" s="602"/>
      <c r="AJ162" s="602"/>
      <c r="AK162" s="602"/>
      <c r="AL162" s="602"/>
      <c r="AM162" s="602"/>
      <c r="AN162" s="603"/>
      <c r="AO162" s="2"/>
    </row>
    <row r="163" spans="4:50" ht="15" customHeight="1" x14ac:dyDescent="0.3">
      <c r="D163" s="199"/>
      <c r="E163" s="9" t="s">
        <v>30</v>
      </c>
      <c r="F163" s="86">
        <f>F151+1</f>
        <v>11</v>
      </c>
      <c r="G163" s="9" t="s">
        <v>175</v>
      </c>
      <c r="H163" s="9"/>
      <c r="I163" s="9"/>
      <c r="J163" s="168" t="s">
        <v>111</v>
      </c>
      <c r="K163" s="148"/>
      <c r="N163" s="200"/>
      <c r="R163" s="596" t="s">
        <v>302</v>
      </c>
      <c r="S163" s="596" t="s">
        <v>303</v>
      </c>
      <c r="T163" s="596" t="s">
        <v>304</v>
      </c>
      <c r="U163" s="596" t="s">
        <v>305</v>
      </c>
      <c r="V163" s="596" t="s">
        <v>306</v>
      </c>
      <c r="W163" s="596" t="s">
        <v>307</v>
      </c>
      <c r="X163" s="596" t="s">
        <v>308</v>
      </c>
      <c r="AA163" s="50"/>
      <c r="AD163" s="199"/>
      <c r="AE163" s="9" t="s">
        <v>30</v>
      </c>
      <c r="AF163" s="86">
        <f>AF151+1</f>
        <v>11</v>
      </c>
      <c r="AG163" s="9" t="s">
        <v>175</v>
      </c>
      <c r="AH163" s="9"/>
      <c r="AI163" s="9"/>
      <c r="AJ163" s="168" t="s">
        <v>111</v>
      </c>
      <c r="AK163" s="382"/>
      <c r="AN163" s="200"/>
      <c r="AR163" s="596" t="s">
        <v>302</v>
      </c>
      <c r="AS163" s="596" t="s">
        <v>303</v>
      </c>
      <c r="AT163" s="596" t="s">
        <v>304</v>
      </c>
      <c r="AU163" s="596" t="s">
        <v>305</v>
      </c>
      <c r="AV163" s="596" t="s">
        <v>306</v>
      </c>
      <c r="AW163" s="596" t="s">
        <v>307</v>
      </c>
      <c r="AX163" s="596" t="s">
        <v>308</v>
      </c>
    </row>
    <row r="164" spans="4:50" ht="15" customHeight="1" x14ac:dyDescent="0.3">
      <c r="D164" s="604" t="s">
        <v>31</v>
      </c>
      <c r="E164" s="594"/>
      <c r="F164" s="151"/>
      <c r="G164" s="86" t="str">
        <f>IF(F164=$P$4,$Q$4,IF(F164=$P$5,$Q$5,IF(F164=$P$6,$Q$6,IF(F164=$P$7,Q$7,IF(F164=$P$8,"","")))))</f>
        <v/>
      </c>
      <c r="H164" s="201"/>
      <c r="I164" s="201"/>
      <c r="J164" s="168" t="s">
        <v>112</v>
      </c>
      <c r="K164" s="148"/>
      <c r="N164" s="200"/>
      <c r="R164" s="596"/>
      <c r="S164" s="596"/>
      <c r="T164" s="596"/>
      <c r="U164" s="596"/>
      <c r="V164" s="596"/>
      <c r="W164" s="596"/>
      <c r="X164" s="596"/>
      <c r="AA164" s="50"/>
      <c r="AD164" s="604" t="s">
        <v>31</v>
      </c>
      <c r="AE164" s="594"/>
      <c r="AF164" s="383"/>
      <c r="AG164" s="86" t="str">
        <f>IF(AF164=$P$4,$Q$4,IF(AF164=$P$5,$Q$5,IF(AF164=$P$6,$Q$6,IF(AF164=$P$7,AQ$7,IF(AF164=$P$8,"","")))))</f>
        <v/>
      </c>
      <c r="AH164" s="201"/>
      <c r="AI164" s="201"/>
      <c r="AJ164" s="168" t="s">
        <v>112</v>
      </c>
      <c r="AK164" s="382"/>
      <c r="AN164" s="200"/>
      <c r="AR164" s="596"/>
      <c r="AS164" s="596"/>
      <c r="AT164" s="596"/>
      <c r="AU164" s="596"/>
      <c r="AV164" s="596"/>
      <c r="AW164" s="596"/>
      <c r="AX164" s="596"/>
    </row>
    <row r="165" spans="4:50" ht="15" customHeight="1" x14ac:dyDescent="0.3">
      <c r="D165" s="244"/>
      <c r="E165" s="230" t="s">
        <v>52</v>
      </c>
      <c r="F165" s="9" t="s">
        <v>32</v>
      </c>
      <c r="G165" s="9" t="s">
        <v>33</v>
      </c>
      <c r="H165" s="9"/>
      <c r="I165" s="9"/>
      <c r="J165" s="9" t="s">
        <v>34</v>
      </c>
      <c r="K165" s="9"/>
      <c r="L165" s="9"/>
      <c r="M165" s="257" t="s">
        <v>35</v>
      </c>
      <c r="N165" s="202"/>
      <c r="O165" s="9"/>
      <c r="P165" s="198" t="s">
        <v>22</v>
      </c>
      <c r="Q165" s="198"/>
      <c r="R165" s="596"/>
      <c r="S165" s="596"/>
      <c r="T165" s="596"/>
      <c r="U165" s="596"/>
      <c r="V165" s="596"/>
      <c r="W165" s="596"/>
      <c r="X165" s="596"/>
      <c r="AA165" s="50"/>
      <c r="AD165" s="244"/>
      <c r="AE165" s="230" t="s">
        <v>52</v>
      </c>
      <c r="AF165" s="9" t="s">
        <v>32</v>
      </c>
      <c r="AG165" s="9" t="s">
        <v>33</v>
      </c>
      <c r="AH165" s="9"/>
      <c r="AI165" s="9"/>
      <c r="AJ165" s="9" t="s">
        <v>34</v>
      </c>
      <c r="AK165" s="9"/>
      <c r="AL165" s="9"/>
      <c r="AM165" s="257" t="s">
        <v>35</v>
      </c>
      <c r="AN165" s="202"/>
      <c r="AO165" s="9"/>
      <c r="AP165" s="198" t="s">
        <v>22</v>
      </c>
      <c r="AQ165" s="198"/>
      <c r="AR165" s="596"/>
      <c r="AS165" s="596"/>
      <c r="AT165" s="596"/>
      <c r="AU165" s="596"/>
      <c r="AV165" s="596"/>
      <c r="AW165" s="596"/>
      <c r="AX165" s="596"/>
    </row>
    <row r="166" spans="4:50" ht="15" customHeight="1" x14ac:dyDescent="0.3">
      <c r="D166" s="244"/>
      <c r="E166" s="355" t="str">
        <f>IF(OR(M166="",M166=0,J166="",G166=""),"",
(IF(AND(F164=$P$4,M166&lt;=$R$4),$V$4,0)+IF(AND(F164=$P$5,M166&lt;=$R$5),$V$5,0)+IF(AND(F164=$P$6,M166&lt;=$R$6),$V$6,0)+IF(AND(F164=$P$7,M166&lt;=$R$7),$V$7,0))
)</f>
        <v/>
      </c>
      <c r="F166" s="153" t="s">
        <v>302</v>
      </c>
      <c r="G166" s="616"/>
      <c r="H166" s="617"/>
      <c r="I166" s="618"/>
      <c r="J166" s="616"/>
      <c r="K166" s="617"/>
      <c r="L166" s="618"/>
      <c r="M166" s="255"/>
      <c r="N166" s="256"/>
      <c r="O166" s="388"/>
      <c r="P166" s="185">
        <f t="shared" ref="P166" si="159">IF(F164="",0,1)</f>
        <v>0</v>
      </c>
      <c r="R166" s="185" t="str">
        <f t="shared" ref="R166" si="160">E166</f>
        <v/>
      </c>
      <c r="S166" s="185" t="str">
        <f t="shared" ref="S166" si="161">E167</f>
        <v/>
      </c>
      <c r="T166" s="185" t="str">
        <f t="shared" ref="T166" si="162">E168</f>
        <v/>
      </c>
      <c r="U166" s="185" t="str">
        <f t="shared" ref="U166" si="163">E169</f>
        <v/>
      </c>
      <c r="V166" s="185" t="str">
        <f t="shared" ref="V166" si="164">E170</f>
        <v/>
      </c>
      <c r="W166" s="185" t="str">
        <f t="shared" ref="W166" si="165">E171</f>
        <v/>
      </c>
      <c r="X166" s="185" t="str">
        <f t="shared" ref="X166" si="166">E172</f>
        <v/>
      </c>
      <c r="AA166" s="50"/>
      <c r="AD166" s="244"/>
      <c r="AE166" s="355" t="str">
        <f>IF(OR(AM166="",AM166=0,AJ166="",AG166=""),"",
(IF(AND(AF164=$P$4,AM166&lt;=$R$4),$V$4,0)+IF(AND(AF164=$P$5,AM166&lt;=$R$5),$V$5,0)+IF(AND(AF164=$P$6,AM166&lt;=$R$6),$V$6,0)+IF(AND(AF164=$P$7,AM166&lt;=$R$7),$V$7,0))
)</f>
        <v/>
      </c>
      <c r="AF166" s="153" t="s">
        <v>302</v>
      </c>
      <c r="AG166" s="598"/>
      <c r="AH166" s="599"/>
      <c r="AI166" s="600"/>
      <c r="AJ166" s="598"/>
      <c r="AK166" s="599"/>
      <c r="AL166" s="600"/>
      <c r="AM166" s="384"/>
      <c r="AN166" s="256"/>
      <c r="AO166" s="388"/>
      <c r="AP166" s="185">
        <f t="shared" ref="AP166" si="167">IF(AF164="",0,1)</f>
        <v>0</v>
      </c>
      <c r="AR166" s="185" t="str">
        <f t="shared" ref="AR166" si="168">AE166</f>
        <v/>
      </c>
      <c r="AS166" s="185" t="str">
        <f t="shared" ref="AS166" si="169">AE167</f>
        <v/>
      </c>
      <c r="AT166" s="185" t="str">
        <f t="shared" ref="AT166" si="170">AE168</f>
        <v/>
      </c>
      <c r="AU166" s="185" t="str">
        <f t="shared" ref="AU166" si="171">AE169</f>
        <v/>
      </c>
      <c r="AV166" s="185" t="str">
        <f t="shared" ref="AV166" si="172">AE170</f>
        <v/>
      </c>
      <c r="AW166" s="185" t="str">
        <f t="shared" ref="AW166" si="173">AE171</f>
        <v/>
      </c>
      <c r="AX166" s="185" t="str">
        <f t="shared" ref="AX166" si="174">AE172</f>
        <v/>
      </c>
    </row>
    <row r="167" spans="4:50" ht="15" customHeight="1" x14ac:dyDescent="0.3">
      <c r="D167" s="244"/>
      <c r="E167" s="341" t="str">
        <f>IF(OR(M167="",M167=0,J167="",G167=""),"",
(IF(AND(F164=$P$4,M167&lt;=$R$4),$V$4,0)+IF(AND(F164=$P$5,M167&lt;=$R$5),$V$5,0)+IF(AND(F164=$P$6,M167&lt;=$R$6),$V$6,0)+IF(AND(F164=$P$7,M167&lt;=$R$7),$V$7,0))
)</f>
        <v/>
      </c>
      <c r="F167" s="153" t="s">
        <v>303</v>
      </c>
      <c r="G167" s="616"/>
      <c r="H167" s="617"/>
      <c r="I167" s="618"/>
      <c r="J167" s="616"/>
      <c r="K167" s="617"/>
      <c r="L167" s="618"/>
      <c r="M167" s="255"/>
      <c r="N167" s="256"/>
      <c r="O167" s="388"/>
      <c r="AA167" s="50"/>
      <c r="AD167" s="244"/>
      <c r="AE167" s="341" t="str">
        <f>IF(OR(AM167="",AM167=0,AJ167="",AG167=""),"",
(IF(AND(AF164=$P$4,AM167&lt;=$R$4),$V$4,0)+IF(AND(AF164=$P$5,AM167&lt;=$R$5),$V$5,0)+IF(AND(AF164=$P$6,AM167&lt;=$R$6),$V$6,0)+IF(AND(AF164=$P$7,AM167&lt;=$R$7),$V$7,0))
)</f>
        <v/>
      </c>
      <c r="AF167" s="153" t="s">
        <v>303</v>
      </c>
      <c r="AG167" s="598"/>
      <c r="AH167" s="599"/>
      <c r="AI167" s="600"/>
      <c r="AJ167" s="598"/>
      <c r="AK167" s="599"/>
      <c r="AL167" s="600"/>
      <c r="AM167" s="384"/>
      <c r="AN167" s="256"/>
      <c r="AO167" s="388"/>
    </row>
    <row r="168" spans="4:50" ht="15" customHeight="1" x14ac:dyDescent="0.3">
      <c r="D168" s="244"/>
      <c r="E168" s="341" t="str">
        <f>IF(OR(M168="",M168=0,J168="",G168=""),"",
(IF(AND(F164=$P$4,M168&lt;=$R$4),$V$4,0)+IF(AND(F164=$P$5,M168&lt;=$R$5),$V$5,0)+IF(AND(F164=$P$6,M168&lt;=$R$6),$V$6,0)+IF(AND(F164=$P$7,M168&lt;=$R$7),$V$7,0))
)</f>
        <v/>
      </c>
      <c r="F168" s="153" t="s">
        <v>304</v>
      </c>
      <c r="G168" s="616"/>
      <c r="H168" s="617"/>
      <c r="I168" s="618"/>
      <c r="J168" s="616"/>
      <c r="K168" s="617"/>
      <c r="L168" s="618"/>
      <c r="M168" s="255"/>
      <c r="N168" s="256"/>
      <c r="O168" s="388"/>
      <c r="AA168" s="50"/>
      <c r="AD168" s="244"/>
      <c r="AE168" s="341" t="str">
        <f>IF(OR(AM168="",AM168=0,AJ168="",AG168=""),"",
(IF(AND(AF164=$P$4,AM168&lt;=$R$4),$V$4,0)+IF(AND(AF164=$P$5,AM168&lt;=$R$5),$V$5,0)+IF(AND(AF164=$P$6,AM168&lt;=$R$6),$V$6,0)+IF(AND(AF164=$P$7,AM168&lt;=$R$7),$V$7,0))
)</f>
        <v/>
      </c>
      <c r="AF168" s="153" t="s">
        <v>304</v>
      </c>
      <c r="AG168" s="598"/>
      <c r="AH168" s="599"/>
      <c r="AI168" s="600"/>
      <c r="AJ168" s="598"/>
      <c r="AK168" s="599"/>
      <c r="AL168" s="600"/>
      <c r="AM168" s="384"/>
      <c r="AN168" s="256"/>
      <c r="AO168" s="388"/>
    </row>
    <row r="169" spans="4:50" ht="15" customHeight="1" x14ac:dyDescent="0.3">
      <c r="D169" s="244"/>
      <c r="E169" s="341" t="str">
        <f>IF(OR(M169="",M169=0,J169="",G169=""),"",
(IF(AND(F164=$P$4,M169&lt;=$R$4),$V$4,0)+IF(AND(F164=$P$5,M169&lt;=$R$5),$V$5,0)+IF(AND(F164=$P$6,M169&lt;=$R$6),$V$6,0)+IF(AND(F164=$P$7,M169&lt;=$R$7),$V$7,0))
)</f>
        <v/>
      </c>
      <c r="F169" s="153" t="s">
        <v>305</v>
      </c>
      <c r="G169" s="616"/>
      <c r="H169" s="617"/>
      <c r="I169" s="618"/>
      <c r="J169" s="616"/>
      <c r="K169" s="617"/>
      <c r="L169" s="618"/>
      <c r="M169" s="255"/>
      <c r="N169" s="256"/>
      <c r="O169" s="388"/>
      <c r="AA169" s="50"/>
      <c r="AD169" s="244"/>
      <c r="AE169" s="341" t="str">
        <f>IF(OR(AM169="",AM169=0,AJ169="",AG169=""),"",
(IF(AND(AF164=$P$4,AM169&lt;=$R$4),$V$4,0)+IF(AND(AF164=$P$5,AM169&lt;=$R$5),$V$5,0)+IF(AND(AF164=$P$6,AM169&lt;=$R$6),$V$6,0)+IF(AND(AF164=$P$7,AM169&lt;=$R$7),$V$7,0))
)</f>
        <v/>
      </c>
      <c r="AF169" s="153" t="s">
        <v>305</v>
      </c>
      <c r="AG169" s="598"/>
      <c r="AH169" s="599"/>
      <c r="AI169" s="600"/>
      <c r="AJ169" s="598"/>
      <c r="AK169" s="599"/>
      <c r="AL169" s="600"/>
      <c r="AM169" s="384"/>
      <c r="AN169" s="256"/>
      <c r="AO169" s="388"/>
    </row>
    <row r="170" spans="4:50" x14ac:dyDescent="0.3">
      <c r="D170" s="244"/>
      <c r="E170" s="341" t="str">
        <f>IF(OR(M170="",M170=0,J170="",G170=""),"",
(IF(AND(F164=$P$4,M170&lt;=$R$4),$V$4,0)+IF(AND(F164=$P$5,M170&lt;=$R$5),$V$5,0)+IF(AND(F164=$P$6,M170&lt;=$R$6),$V$6,0)+IF(AND(F164=$P$7,M170&lt;=$R$7),$V$7,0))
)</f>
        <v/>
      </c>
      <c r="F170" s="153" t="s">
        <v>306</v>
      </c>
      <c r="G170" s="616"/>
      <c r="H170" s="617"/>
      <c r="I170" s="618"/>
      <c r="J170" s="616"/>
      <c r="K170" s="617"/>
      <c r="L170" s="618"/>
      <c r="M170" s="255"/>
      <c r="N170" s="256"/>
      <c r="O170" s="388"/>
      <c r="AA170" s="50"/>
      <c r="AD170" s="244"/>
      <c r="AE170" s="341" t="str">
        <f>IF(OR(AM170="",AM170=0,AJ170="",AG170=""),"",
(IF(AND(AF164=$P$4,AM170&lt;=$R$4),$V$4,0)+IF(AND(AF164=$P$5,AM170&lt;=$R$5),$V$5,0)+IF(AND(AF164=$P$6,AM170&lt;=$R$6),$V$6,0)+IF(AND(AF164=$P$7,AM170&lt;=$R$7),$V$7,0))
)</f>
        <v/>
      </c>
      <c r="AF170" s="153" t="s">
        <v>306</v>
      </c>
      <c r="AG170" s="598"/>
      <c r="AH170" s="599"/>
      <c r="AI170" s="600"/>
      <c r="AJ170" s="598"/>
      <c r="AK170" s="599"/>
      <c r="AL170" s="600"/>
      <c r="AM170" s="384"/>
      <c r="AN170" s="256"/>
      <c r="AO170" s="388"/>
    </row>
    <row r="171" spans="4:50" x14ac:dyDescent="0.3">
      <c r="D171" s="244"/>
      <c r="E171" s="341" t="str">
        <f>IF(OR(M171="",M171=0,J171="",G171=""),"",
(IF(AND(F164=$P$4,M171&lt;=$R$4),$V$4,0)+IF(AND(F164=$P$5,M171&lt;=$R$5),$V$5,0)+IF(AND(F164=$P$6,M171&lt;=$R$6),$V$6,0)+IF(AND(F164=$P$7,M171&lt;=$R$7),$V$7,0))
)</f>
        <v/>
      </c>
      <c r="F171" s="153" t="s">
        <v>307</v>
      </c>
      <c r="G171" s="616"/>
      <c r="H171" s="617"/>
      <c r="I171" s="618"/>
      <c r="J171" s="616"/>
      <c r="K171" s="617"/>
      <c r="L171" s="618"/>
      <c r="M171" s="255"/>
      <c r="N171" s="256"/>
      <c r="O171" s="388"/>
      <c r="AA171" s="50"/>
      <c r="AD171" s="244"/>
      <c r="AE171" s="341" t="str">
        <f>IF(OR(AM171="",AM171=0,AJ171="",AG171=""),"",
(IF(AND(AF164=$P$4,AM171&lt;=$R$4),$V$4,0)+IF(AND(AF164=$P$5,AM171&lt;=$R$5),$V$5,0)+IF(AND(AF164=$P$6,AM171&lt;=$R$6),$V$6,0)+IF(AND(AF164=$P$7,AM171&lt;=$R$7),$V$7,0))
)</f>
        <v/>
      </c>
      <c r="AF171" s="153" t="s">
        <v>307</v>
      </c>
      <c r="AG171" s="598"/>
      <c r="AH171" s="599"/>
      <c r="AI171" s="600"/>
      <c r="AJ171" s="598"/>
      <c r="AK171" s="599"/>
      <c r="AL171" s="600"/>
      <c r="AM171" s="384"/>
      <c r="AN171" s="256"/>
      <c r="AO171" s="388"/>
    </row>
    <row r="172" spans="4:50" x14ac:dyDescent="0.3">
      <c r="D172" s="244"/>
      <c r="E172" s="341" t="str">
        <f>IF(OR(M172="",M172=0,J172="",G172=""),"",
(IF(AND(F164=$P$4,M172&lt;=$R$4),$V$4,0)+IF(AND(F164=$P$5,M172&lt;=$R$5),$V$5,0)+IF(AND(F164=$P$6,M172&lt;=$R$6),$V$6,0)+IF(AND(F164=$P$7,M172&lt;=$R$7),$V$7,0))
)</f>
        <v/>
      </c>
      <c r="F172" s="153" t="s">
        <v>308</v>
      </c>
      <c r="G172" s="616"/>
      <c r="H172" s="617"/>
      <c r="I172" s="618"/>
      <c r="J172" s="616"/>
      <c r="K172" s="617"/>
      <c r="L172" s="618"/>
      <c r="M172" s="255"/>
      <c r="N172" s="256"/>
      <c r="O172" s="388"/>
      <c r="AA172" s="50"/>
      <c r="AD172" s="244"/>
      <c r="AE172" s="341" t="str">
        <f>IF(OR(AM172="",AM172=0,AJ172="",AG172=""),"",
(IF(AND(AF164=$P$4,AM172&lt;=$R$4),$V$4,0)+IF(AND(AF164=$P$5,AM172&lt;=$R$5),$V$5,0)+IF(AND(AF164=$P$6,AM172&lt;=$R$6),$V$6,0)+IF(AND(AF164=$P$7,AM172&lt;=$R$7),$V$7,0))
)</f>
        <v/>
      </c>
      <c r="AF172" s="153" t="s">
        <v>308</v>
      </c>
      <c r="AG172" s="598"/>
      <c r="AH172" s="599"/>
      <c r="AI172" s="600"/>
      <c r="AJ172" s="598"/>
      <c r="AK172" s="599"/>
      <c r="AL172" s="600"/>
      <c r="AM172" s="384"/>
      <c r="AN172" s="256"/>
      <c r="AO172" s="388"/>
    </row>
    <row r="173" spans="4:50" ht="16.2" thickBot="1" x14ac:dyDescent="0.35">
      <c r="D173" s="203"/>
      <c r="E173" s="3"/>
      <c r="F173" s="3"/>
      <c r="G173" s="3"/>
      <c r="H173" s="3"/>
      <c r="I173" s="3"/>
      <c r="J173" s="3"/>
      <c r="K173" s="3"/>
      <c r="L173" s="3"/>
      <c r="M173" s="3"/>
      <c r="N173" s="204"/>
      <c r="P173" s="2"/>
      <c r="AA173" s="50"/>
      <c r="AD173" s="203"/>
      <c r="AE173" s="3"/>
      <c r="AF173" s="3"/>
      <c r="AG173" s="3"/>
      <c r="AH173" s="3"/>
      <c r="AI173" s="3"/>
      <c r="AJ173" s="3"/>
      <c r="AK173" s="3"/>
      <c r="AL173" s="3"/>
      <c r="AM173" s="3"/>
      <c r="AN173" s="204"/>
      <c r="AP173" s="2"/>
    </row>
    <row r="174" spans="4:50" x14ac:dyDescent="0.3">
      <c r="D174" s="601" t="str">
        <f>IF(
OR(
OR(F176=$P$4,F176=$P$5,F176=$P$6,F176=$P$7),AND(G178="",G179="",G180="",G181="",G182="",G183="",G184="",J178="",J179="",J180="",J181="",J182="",J183="",J184="",M178="",M179="",M180="",M181="",M182="",M183="",M184="",K175="",K176="")
),
"",
"A Set-Aside must be selected."
)</f>
        <v/>
      </c>
      <c r="E174" s="602"/>
      <c r="F174" s="602"/>
      <c r="G174" s="602"/>
      <c r="H174" s="602"/>
      <c r="I174" s="602"/>
      <c r="J174" s="602"/>
      <c r="K174" s="602"/>
      <c r="L174" s="602"/>
      <c r="M174" s="602"/>
      <c r="N174" s="603"/>
      <c r="O174" s="2"/>
      <c r="AA174" s="50"/>
      <c r="AD174" s="601" t="str">
        <f>IF(
OR(
OR(AF176=$P$4,AF176=$P$5,AF176=$P$6,AF176=$P$7),AND(AG178="",AG179="",AG180="",AG181="",AG182="",AG183="",AG184="",AJ178="",AJ179="",AJ180="",AJ181="",AJ182="",AJ183="",AJ184="",AM178="",AM179="",AM180="",AM181="",AM182="",AM183="",AM184="",AK175="",AK176="")
),
"",
"A Set-Aside must be selected."
)</f>
        <v/>
      </c>
      <c r="AE174" s="602"/>
      <c r="AF174" s="602"/>
      <c r="AG174" s="602"/>
      <c r="AH174" s="602"/>
      <c r="AI174" s="602"/>
      <c r="AJ174" s="602"/>
      <c r="AK174" s="602"/>
      <c r="AL174" s="602"/>
      <c r="AM174" s="602"/>
      <c r="AN174" s="603"/>
      <c r="AO174" s="2"/>
    </row>
    <row r="175" spans="4:50" ht="15" customHeight="1" x14ac:dyDescent="0.3">
      <c r="D175" s="199"/>
      <c r="E175" s="9" t="s">
        <v>30</v>
      </c>
      <c r="F175" s="86">
        <f>F163+1</f>
        <v>12</v>
      </c>
      <c r="G175" s="9" t="s">
        <v>175</v>
      </c>
      <c r="H175" s="9"/>
      <c r="I175" s="9"/>
      <c r="J175" s="168" t="s">
        <v>111</v>
      </c>
      <c r="K175" s="148"/>
      <c r="N175" s="200"/>
      <c r="R175" s="596" t="s">
        <v>302</v>
      </c>
      <c r="S175" s="596" t="s">
        <v>303</v>
      </c>
      <c r="T175" s="596" t="s">
        <v>304</v>
      </c>
      <c r="U175" s="596" t="s">
        <v>305</v>
      </c>
      <c r="V175" s="596" t="s">
        <v>306</v>
      </c>
      <c r="W175" s="596" t="s">
        <v>307</v>
      </c>
      <c r="X175" s="596" t="s">
        <v>308</v>
      </c>
      <c r="AA175" s="50"/>
      <c r="AD175" s="199"/>
      <c r="AE175" s="9" t="s">
        <v>30</v>
      </c>
      <c r="AF175" s="86">
        <f>AF163+1</f>
        <v>12</v>
      </c>
      <c r="AG175" s="9" t="s">
        <v>175</v>
      </c>
      <c r="AH175" s="9"/>
      <c r="AI175" s="9"/>
      <c r="AJ175" s="168" t="s">
        <v>111</v>
      </c>
      <c r="AK175" s="382"/>
      <c r="AN175" s="200"/>
      <c r="AR175" s="596" t="s">
        <v>302</v>
      </c>
      <c r="AS175" s="596" t="s">
        <v>303</v>
      </c>
      <c r="AT175" s="596" t="s">
        <v>304</v>
      </c>
      <c r="AU175" s="596" t="s">
        <v>305</v>
      </c>
      <c r="AV175" s="596" t="s">
        <v>306</v>
      </c>
      <c r="AW175" s="596" t="s">
        <v>307</v>
      </c>
      <c r="AX175" s="596" t="s">
        <v>308</v>
      </c>
    </row>
    <row r="176" spans="4:50" ht="15" customHeight="1" x14ac:dyDescent="0.3">
      <c r="D176" s="604" t="s">
        <v>31</v>
      </c>
      <c r="E176" s="594"/>
      <c r="F176" s="151"/>
      <c r="G176" s="86" t="str">
        <f>IF(F176=$P$4,$Q$4,IF(F176=$P$5,$Q$5,IF(F176=$P$6,$Q$6,IF(F176=$P$7,Q$7,IF(F176=$P$8,"","")))))</f>
        <v/>
      </c>
      <c r="H176" s="201"/>
      <c r="I176" s="201"/>
      <c r="J176" s="168" t="s">
        <v>112</v>
      </c>
      <c r="K176" s="148"/>
      <c r="N176" s="200"/>
      <c r="R176" s="596"/>
      <c r="S176" s="596"/>
      <c r="T176" s="596"/>
      <c r="U176" s="596"/>
      <c r="V176" s="596"/>
      <c r="W176" s="596"/>
      <c r="X176" s="596"/>
      <c r="AA176" s="50"/>
      <c r="AD176" s="604" t="s">
        <v>31</v>
      </c>
      <c r="AE176" s="594"/>
      <c r="AF176" s="383"/>
      <c r="AG176" s="86" t="str">
        <f>IF(AF176=$P$4,$Q$4,IF(AF176=$P$5,$Q$5,IF(AF176=$P$6,$Q$6,IF(AF176=$P$7,AQ$7,IF(AF176=$P$8,"","")))))</f>
        <v/>
      </c>
      <c r="AH176" s="201"/>
      <c r="AI176" s="201"/>
      <c r="AJ176" s="168" t="s">
        <v>112</v>
      </c>
      <c r="AK176" s="382"/>
      <c r="AN176" s="200"/>
      <c r="AR176" s="596"/>
      <c r="AS176" s="596"/>
      <c r="AT176" s="596"/>
      <c r="AU176" s="596"/>
      <c r="AV176" s="596"/>
      <c r="AW176" s="596"/>
      <c r="AX176" s="596"/>
    </row>
    <row r="177" spans="4:50" ht="15" customHeight="1" x14ac:dyDescent="0.3">
      <c r="D177" s="244"/>
      <c r="E177" s="230" t="s">
        <v>52</v>
      </c>
      <c r="F177" s="9" t="s">
        <v>32</v>
      </c>
      <c r="G177" s="9" t="s">
        <v>33</v>
      </c>
      <c r="H177" s="9"/>
      <c r="I177" s="9"/>
      <c r="J177" s="9" t="s">
        <v>34</v>
      </c>
      <c r="K177" s="9"/>
      <c r="L177" s="9"/>
      <c r="M177" s="257" t="s">
        <v>35</v>
      </c>
      <c r="N177" s="202"/>
      <c r="O177" s="9"/>
      <c r="P177" s="198" t="s">
        <v>22</v>
      </c>
      <c r="Q177" s="198"/>
      <c r="R177" s="596"/>
      <c r="S177" s="596"/>
      <c r="T177" s="596"/>
      <c r="U177" s="596"/>
      <c r="V177" s="596"/>
      <c r="W177" s="596"/>
      <c r="X177" s="596"/>
      <c r="AA177" s="50"/>
      <c r="AD177" s="244"/>
      <c r="AE177" s="230" t="s">
        <v>52</v>
      </c>
      <c r="AF177" s="9" t="s">
        <v>32</v>
      </c>
      <c r="AG177" s="9" t="s">
        <v>33</v>
      </c>
      <c r="AH177" s="9"/>
      <c r="AI177" s="9"/>
      <c r="AJ177" s="9" t="s">
        <v>34</v>
      </c>
      <c r="AK177" s="9"/>
      <c r="AL177" s="9"/>
      <c r="AM177" s="257" t="s">
        <v>35</v>
      </c>
      <c r="AN177" s="202"/>
      <c r="AO177" s="9"/>
      <c r="AP177" s="198" t="s">
        <v>22</v>
      </c>
      <c r="AQ177" s="198"/>
      <c r="AR177" s="596"/>
      <c r="AS177" s="596"/>
      <c r="AT177" s="596"/>
      <c r="AU177" s="596"/>
      <c r="AV177" s="596"/>
      <c r="AW177" s="596"/>
      <c r="AX177" s="596"/>
    </row>
    <row r="178" spans="4:50" ht="15" customHeight="1" x14ac:dyDescent="0.3">
      <c r="D178" s="244"/>
      <c r="E178" s="355" t="str">
        <f>IF(OR(M178="",M178=0,J178="",G178=""),"",
(IF(AND(F176=$P$4,M178&lt;=$R$4),$V$4,0)+IF(AND(F176=$P$5,M178&lt;=$R$5),$V$5,0)+IF(AND(F176=$P$6,M178&lt;=$R$6),$V$6,0)+IF(AND(F176=$P$7,M178&lt;=$R$7),$V$7,0))
)</f>
        <v/>
      </c>
      <c r="F178" s="153" t="s">
        <v>302</v>
      </c>
      <c r="G178" s="616"/>
      <c r="H178" s="617"/>
      <c r="I178" s="618"/>
      <c r="J178" s="616"/>
      <c r="K178" s="617"/>
      <c r="L178" s="618"/>
      <c r="M178" s="255"/>
      <c r="N178" s="256"/>
      <c r="O178" s="388"/>
      <c r="P178" s="185">
        <f t="shared" ref="P178" si="175">IF(F176="",0,1)</f>
        <v>0</v>
      </c>
      <c r="R178" s="185" t="str">
        <f t="shared" ref="R178" si="176">E178</f>
        <v/>
      </c>
      <c r="S178" s="185" t="str">
        <f t="shared" ref="S178" si="177">E179</f>
        <v/>
      </c>
      <c r="T178" s="185" t="str">
        <f t="shared" ref="T178" si="178">E180</f>
        <v/>
      </c>
      <c r="U178" s="185" t="str">
        <f t="shared" ref="U178" si="179">E181</f>
        <v/>
      </c>
      <c r="V178" s="185" t="str">
        <f t="shared" ref="V178" si="180">E182</f>
        <v/>
      </c>
      <c r="W178" s="185" t="str">
        <f t="shared" ref="W178" si="181">E183</f>
        <v/>
      </c>
      <c r="X178" s="185" t="str">
        <f t="shared" ref="X178" si="182">E184</f>
        <v/>
      </c>
      <c r="AA178" s="50"/>
      <c r="AD178" s="244"/>
      <c r="AE178" s="355" t="str">
        <f>IF(OR(AM178="",AM178=0,AJ178="",AG178=""),"",
(IF(AND(AF176=$P$4,AM178&lt;=$R$4),$V$4,0)+IF(AND(AF176=$P$5,AM178&lt;=$R$5),$V$5,0)+IF(AND(AF176=$P$6,AM178&lt;=$R$6),$V$6,0)+IF(AND(AF176=$P$7,AM178&lt;=$R$7),$V$7,0))
)</f>
        <v/>
      </c>
      <c r="AF178" s="153" t="s">
        <v>302</v>
      </c>
      <c r="AG178" s="598"/>
      <c r="AH178" s="599"/>
      <c r="AI178" s="600"/>
      <c r="AJ178" s="598"/>
      <c r="AK178" s="599"/>
      <c r="AL178" s="600"/>
      <c r="AM178" s="384"/>
      <c r="AN178" s="256"/>
      <c r="AO178" s="388"/>
      <c r="AP178" s="185">
        <f t="shared" ref="AP178" si="183">IF(AF176="",0,1)</f>
        <v>0</v>
      </c>
      <c r="AR178" s="185" t="str">
        <f t="shared" ref="AR178" si="184">AE178</f>
        <v/>
      </c>
      <c r="AS178" s="185" t="str">
        <f t="shared" ref="AS178" si="185">AE179</f>
        <v/>
      </c>
      <c r="AT178" s="185" t="str">
        <f t="shared" ref="AT178" si="186">AE180</f>
        <v/>
      </c>
      <c r="AU178" s="185" t="str">
        <f t="shared" ref="AU178" si="187">AE181</f>
        <v/>
      </c>
      <c r="AV178" s="185" t="str">
        <f t="shared" ref="AV178" si="188">AE182</f>
        <v/>
      </c>
      <c r="AW178" s="185" t="str">
        <f t="shared" ref="AW178" si="189">AE183</f>
        <v/>
      </c>
      <c r="AX178" s="185" t="str">
        <f t="shared" ref="AX178" si="190">AE184</f>
        <v/>
      </c>
    </row>
    <row r="179" spans="4:50" ht="15" customHeight="1" x14ac:dyDescent="0.3">
      <c r="D179" s="244"/>
      <c r="E179" s="341" t="str">
        <f>IF(OR(M179="",M179=0,J179="",G179=""),"",
(IF(AND(F176=$P$4,M179&lt;=$R$4),$V$4,0)+IF(AND(F176=$P$5,M179&lt;=$R$5),$V$5,0)+IF(AND(F176=$P$6,M179&lt;=$R$6),$V$6,0)+IF(AND(F176=$P$7,M179&lt;=$R$7),$V$7,0))
)</f>
        <v/>
      </c>
      <c r="F179" s="153" t="s">
        <v>303</v>
      </c>
      <c r="G179" s="616"/>
      <c r="H179" s="617"/>
      <c r="I179" s="618"/>
      <c r="J179" s="616"/>
      <c r="K179" s="617"/>
      <c r="L179" s="618"/>
      <c r="M179" s="255"/>
      <c r="N179" s="256"/>
      <c r="O179" s="388"/>
      <c r="AA179" s="50"/>
      <c r="AD179" s="244"/>
      <c r="AE179" s="341" t="str">
        <f>IF(OR(AM179="",AM179=0,AJ179="",AG179=""),"",
(IF(AND(AF176=$P$4,AM179&lt;=$R$4),$V$4,0)+IF(AND(AF176=$P$5,AM179&lt;=$R$5),$V$5,0)+IF(AND(AF176=$P$6,AM179&lt;=$R$6),$V$6,0)+IF(AND(AF176=$P$7,AM179&lt;=$R$7),$V$7,0))
)</f>
        <v/>
      </c>
      <c r="AF179" s="153" t="s">
        <v>303</v>
      </c>
      <c r="AG179" s="598"/>
      <c r="AH179" s="599"/>
      <c r="AI179" s="600"/>
      <c r="AJ179" s="598"/>
      <c r="AK179" s="599"/>
      <c r="AL179" s="600"/>
      <c r="AM179" s="384"/>
      <c r="AN179" s="256"/>
      <c r="AO179" s="388"/>
    </row>
    <row r="180" spans="4:50" x14ac:dyDescent="0.3">
      <c r="D180" s="244"/>
      <c r="E180" s="341" t="str">
        <f>IF(OR(M180="",M180=0,J180="",G180=""),"",
(IF(AND(F176=$P$4,M180&lt;=$R$4),$V$4,0)+IF(AND(F176=$P$5,M180&lt;=$R$5),$V$5,0)+IF(AND(F176=$P$6,M180&lt;=$R$6),$V$6,0)+IF(AND(F176=$P$7,M180&lt;=$R$7),$V$7,0))
)</f>
        <v/>
      </c>
      <c r="F180" s="153" t="s">
        <v>304</v>
      </c>
      <c r="G180" s="616"/>
      <c r="H180" s="617"/>
      <c r="I180" s="618"/>
      <c r="J180" s="616"/>
      <c r="K180" s="617"/>
      <c r="L180" s="618"/>
      <c r="M180" s="255"/>
      <c r="N180" s="256"/>
      <c r="O180" s="388"/>
      <c r="AA180" s="50"/>
      <c r="AD180" s="244"/>
      <c r="AE180" s="341" t="str">
        <f>IF(OR(AM180="",AM180=0,AJ180="",AG180=""),"",
(IF(AND(AF176=$P$4,AM180&lt;=$R$4),$V$4,0)+IF(AND(AF176=$P$5,AM180&lt;=$R$5),$V$5,0)+IF(AND(AF176=$P$6,AM180&lt;=$R$6),$V$6,0)+IF(AND(AF176=$P$7,AM180&lt;=$R$7),$V$7,0))
)</f>
        <v/>
      </c>
      <c r="AF180" s="153" t="s">
        <v>304</v>
      </c>
      <c r="AG180" s="598"/>
      <c r="AH180" s="599"/>
      <c r="AI180" s="600"/>
      <c r="AJ180" s="598"/>
      <c r="AK180" s="599"/>
      <c r="AL180" s="600"/>
      <c r="AM180" s="384"/>
      <c r="AN180" s="256"/>
      <c r="AO180" s="388"/>
    </row>
    <row r="181" spans="4:50" x14ac:dyDescent="0.3">
      <c r="D181" s="244"/>
      <c r="E181" s="341" t="str">
        <f>IF(OR(M181="",M181=0,J181="",G181=""),"",
(IF(AND(F176=$P$4,M181&lt;=$R$4),$V$4,0)+IF(AND(F176=$P$5,M181&lt;=$R$5),$V$5,0)+IF(AND(F176=$P$6,M181&lt;=$R$6),$V$6,0)+IF(AND(F176=$P$7,M181&lt;=$R$7),$V$7,0))
)</f>
        <v/>
      </c>
      <c r="F181" s="153" t="s">
        <v>305</v>
      </c>
      <c r="G181" s="616"/>
      <c r="H181" s="617"/>
      <c r="I181" s="618"/>
      <c r="J181" s="616"/>
      <c r="K181" s="617"/>
      <c r="L181" s="618"/>
      <c r="M181" s="255"/>
      <c r="N181" s="256"/>
      <c r="O181" s="388"/>
      <c r="AA181" s="50"/>
      <c r="AD181" s="244"/>
      <c r="AE181" s="341" t="str">
        <f>IF(OR(AM181="",AM181=0,AJ181="",AG181=""),"",
(IF(AND(AF176=$P$4,AM181&lt;=$R$4),$V$4,0)+IF(AND(AF176=$P$5,AM181&lt;=$R$5),$V$5,0)+IF(AND(AF176=$P$6,AM181&lt;=$R$6),$V$6,0)+IF(AND(AF176=$P$7,AM181&lt;=$R$7),$V$7,0))
)</f>
        <v/>
      </c>
      <c r="AF181" s="153" t="s">
        <v>305</v>
      </c>
      <c r="AG181" s="598"/>
      <c r="AH181" s="599"/>
      <c r="AI181" s="600"/>
      <c r="AJ181" s="598"/>
      <c r="AK181" s="599"/>
      <c r="AL181" s="600"/>
      <c r="AM181" s="384"/>
      <c r="AN181" s="256"/>
      <c r="AO181" s="388"/>
    </row>
    <row r="182" spans="4:50" x14ac:dyDescent="0.3">
      <c r="D182" s="244"/>
      <c r="E182" s="341" t="str">
        <f>IF(OR(M182="",M182=0,J182="",G182=""),"",
(IF(AND(F176=$P$4,M182&lt;=$R$4),$V$4,0)+IF(AND(F176=$P$5,M182&lt;=$R$5),$V$5,0)+IF(AND(F176=$P$6,M182&lt;=$R$6),$V$6,0)+IF(AND(F176=$P$7,M182&lt;=$R$7),$V$7,0))
)</f>
        <v/>
      </c>
      <c r="F182" s="153" t="s">
        <v>306</v>
      </c>
      <c r="G182" s="616"/>
      <c r="H182" s="617"/>
      <c r="I182" s="618"/>
      <c r="J182" s="616"/>
      <c r="K182" s="617"/>
      <c r="L182" s="618"/>
      <c r="M182" s="255"/>
      <c r="N182" s="256"/>
      <c r="O182" s="388"/>
      <c r="AA182" s="50"/>
      <c r="AD182" s="244"/>
      <c r="AE182" s="341" t="str">
        <f>IF(OR(AM182="",AM182=0,AJ182="",AG182=""),"",
(IF(AND(AF176=$P$4,AM182&lt;=$R$4),$V$4,0)+IF(AND(AF176=$P$5,AM182&lt;=$R$5),$V$5,0)+IF(AND(AF176=$P$6,AM182&lt;=$R$6),$V$6,0)+IF(AND(AF176=$P$7,AM182&lt;=$R$7),$V$7,0))
)</f>
        <v/>
      </c>
      <c r="AF182" s="153" t="s">
        <v>306</v>
      </c>
      <c r="AG182" s="598"/>
      <c r="AH182" s="599"/>
      <c r="AI182" s="600"/>
      <c r="AJ182" s="598"/>
      <c r="AK182" s="599"/>
      <c r="AL182" s="600"/>
      <c r="AM182" s="384"/>
      <c r="AN182" s="256"/>
      <c r="AO182" s="388"/>
    </row>
    <row r="183" spans="4:50" x14ac:dyDescent="0.3">
      <c r="D183" s="244"/>
      <c r="E183" s="341" t="str">
        <f>IF(OR(M183="",M183=0,J183="",G183=""),"",
(IF(AND(F176=$P$4,M183&lt;=$R$4),$V$4,0)+IF(AND(F176=$P$5,M183&lt;=$R$5),$V$5,0)+IF(AND(F176=$P$6,M183&lt;=$R$6),$V$6,0)+IF(AND(F176=$P$7,M183&lt;=$R$7),$V$7,0))
)</f>
        <v/>
      </c>
      <c r="F183" s="153" t="s">
        <v>307</v>
      </c>
      <c r="G183" s="616"/>
      <c r="H183" s="617"/>
      <c r="I183" s="618"/>
      <c r="J183" s="616"/>
      <c r="K183" s="617"/>
      <c r="L183" s="618"/>
      <c r="M183" s="255"/>
      <c r="N183" s="256"/>
      <c r="O183" s="388"/>
      <c r="AA183" s="50"/>
      <c r="AD183" s="244"/>
      <c r="AE183" s="341" t="str">
        <f>IF(OR(AM183="",AM183=0,AJ183="",AG183=""),"",
(IF(AND(AF176=$P$4,AM183&lt;=$R$4),$V$4,0)+IF(AND(AF176=$P$5,AM183&lt;=$R$5),$V$5,0)+IF(AND(AF176=$P$6,AM183&lt;=$R$6),$V$6,0)+IF(AND(AF176=$P$7,AM183&lt;=$R$7),$V$7,0))
)</f>
        <v/>
      </c>
      <c r="AF183" s="153" t="s">
        <v>307</v>
      </c>
      <c r="AG183" s="598"/>
      <c r="AH183" s="599"/>
      <c r="AI183" s="600"/>
      <c r="AJ183" s="598"/>
      <c r="AK183" s="599"/>
      <c r="AL183" s="600"/>
      <c r="AM183" s="384"/>
      <c r="AN183" s="256"/>
      <c r="AO183" s="388"/>
    </row>
    <row r="184" spans="4:50" x14ac:dyDescent="0.3">
      <c r="D184" s="244"/>
      <c r="E184" s="341" t="str">
        <f>IF(OR(M184="",M184=0,J184="",G184=""),"",
(IF(AND(F176=$P$4,M184&lt;=$R$4),$V$4,0)+IF(AND(F176=$P$5,M184&lt;=$R$5),$V$5,0)+IF(AND(F176=$P$6,M184&lt;=$R$6),$V$6,0)+IF(AND(F176=$P$7,M184&lt;=$R$7),$V$7,0))
)</f>
        <v/>
      </c>
      <c r="F184" s="153" t="s">
        <v>308</v>
      </c>
      <c r="G184" s="616"/>
      <c r="H184" s="617"/>
      <c r="I184" s="618"/>
      <c r="J184" s="616"/>
      <c r="K184" s="617"/>
      <c r="L184" s="618"/>
      <c r="M184" s="255"/>
      <c r="N184" s="256"/>
      <c r="O184" s="388"/>
      <c r="AA184" s="50"/>
      <c r="AD184" s="244"/>
      <c r="AE184" s="341" t="str">
        <f>IF(OR(AM184="",AM184=0,AJ184="",AG184=""),"",
(IF(AND(AF176=$P$4,AM184&lt;=$R$4),$V$4,0)+IF(AND(AF176=$P$5,AM184&lt;=$R$5),$V$5,0)+IF(AND(AF176=$P$6,AM184&lt;=$R$6),$V$6,0)+IF(AND(AF176=$P$7,AM184&lt;=$R$7),$V$7,0))
)</f>
        <v/>
      </c>
      <c r="AF184" s="153" t="s">
        <v>308</v>
      </c>
      <c r="AG184" s="598"/>
      <c r="AH184" s="599"/>
      <c r="AI184" s="600"/>
      <c r="AJ184" s="598"/>
      <c r="AK184" s="599"/>
      <c r="AL184" s="600"/>
      <c r="AM184" s="384"/>
      <c r="AN184" s="256"/>
      <c r="AO184" s="388"/>
    </row>
    <row r="185" spans="4:50" ht="15" customHeight="1" thickBot="1" x14ac:dyDescent="0.35">
      <c r="D185" s="203"/>
      <c r="E185" s="3"/>
      <c r="F185" s="3"/>
      <c r="G185" s="3"/>
      <c r="H185" s="3"/>
      <c r="I185" s="3"/>
      <c r="J185" s="3"/>
      <c r="K185" s="3"/>
      <c r="L185" s="3"/>
      <c r="M185" s="3"/>
      <c r="N185" s="204"/>
      <c r="P185" s="2"/>
      <c r="AA185" s="50"/>
      <c r="AD185" s="203"/>
      <c r="AE185" s="3"/>
      <c r="AF185" s="3"/>
      <c r="AG185" s="3"/>
      <c r="AH185" s="3"/>
      <c r="AI185" s="3"/>
      <c r="AJ185" s="3"/>
      <c r="AK185" s="3"/>
      <c r="AL185" s="3"/>
      <c r="AM185" s="3"/>
      <c r="AN185" s="204"/>
      <c r="AP185" s="2"/>
    </row>
    <row r="186" spans="4:50" ht="15" customHeight="1" x14ac:dyDescent="0.3">
      <c r="D186" s="601" t="str">
        <f>IF(
OR(
OR(F188=$P$4,F188=$P$5,F188=$P$6,F188=$P$7),AND(G190="",G191="",G192="",G193="",G194="",G195="",G196="",J190="",J191="",J192="",J193="",J194="",J195="",J196="",M190="",M191="",M192="",M193="",M194="",M195="",M196="",K187="",K188="")
),
"",
"A Set-Aside must be selected."
)</f>
        <v/>
      </c>
      <c r="E186" s="602"/>
      <c r="F186" s="602"/>
      <c r="G186" s="602"/>
      <c r="H186" s="602"/>
      <c r="I186" s="602"/>
      <c r="J186" s="602"/>
      <c r="K186" s="602"/>
      <c r="L186" s="602"/>
      <c r="M186" s="602"/>
      <c r="N186" s="603"/>
      <c r="O186" s="2"/>
      <c r="AA186" s="50"/>
      <c r="AD186" s="601" t="str">
        <f>IF(
OR(
OR(AF188=$P$4,AF188=$P$5,AF188=$P$6,AF188=$P$7),AND(AG190="",AG191="",AG192="",AG193="",AG194="",AG195="",AG196="",AJ190="",AJ191="",AJ192="",AJ193="",AJ194="",AJ195="",AJ196="",AM190="",AM191="",AM192="",AM193="",AM194="",AM195="",AM196="",AK187="",AK188="")
),
"",
"A Set-Aside must be selected."
)</f>
        <v/>
      </c>
      <c r="AE186" s="602"/>
      <c r="AF186" s="602"/>
      <c r="AG186" s="602"/>
      <c r="AH186" s="602"/>
      <c r="AI186" s="602"/>
      <c r="AJ186" s="602"/>
      <c r="AK186" s="602"/>
      <c r="AL186" s="602"/>
      <c r="AM186" s="602"/>
      <c r="AN186" s="603"/>
      <c r="AO186" s="2"/>
    </row>
    <row r="187" spans="4:50" ht="15" customHeight="1" x14ac:dyDescent="0.3">
      <c r="D187" s="199"/>
      <c r="E187" s="9" t="s">
        <v>30</v>
      </c>
      <c r="F187" s="86">
        <f>F175+1</f>
        <v>13</v>
      </c>
      <c r="G187" s="9" t="s">
        <v>175</v>
      </c>
      <c r="H187" s="9"/>
      <c r="I187" s="9"/>
      <c r="J187" s="168" t="s">
        <v>111</v>
      </c>
      <c r="K187" s="148"/>
      <c r="N187" s="200"/>
      <c r="R187" s="596" t="s">
        <v>302</v>
      </c>
      <c r="S187" s="596" t="s">
        <v>303</v>
      </c>
      <c r="T187" s="596" t="s">
        <v>304</v>
      </c>
      <c r="U187" s="596" t="s">
        <v>305</v>
      </c>
      <c r="V187" s="596" t="s">
        <v>306</v>
      </c>
      <c r="W187" s="596" t="s">
        <v>307</v>
      </c>
      <c r="X187" s="596" t="s">
        <v>308</v>
      </c>
      <c r="AA187" s="50"/>
      <c r="AD187" s="199"/>
      <c r="AE187" s="9" t="s">
        <v>30</v>
      </c>
      <c r="AF187" s="86">
        <f>AF175+1</f>
        <v>13</v>
      </c>
      <c r="AG187" s="9" t="s">
        <v>175</v>
      </c>
      <c r="AH187" s="9"/>
      <c r="AI187" s="9"/>
      <c r="AJ187" s="168" t="s">
        <v>111</v>
      </c>
      <c r="AK187" s="382"/>
      <c r="AN187" s="200"/>
      <c r="AR187" s="596" t="s">
        <v>302</v>
      </c>
      <c r="AS187" s="596" t="s">
        <v>303</v>
      </c>
      <c r="AT187" s="596" t="s">
        <v>304</v>
      </c>
      <c r="AU187" s="596" t="s">
        <v>305</v>
      </c>
      <c r="AV187" s="596" t="s">
        <v>306</v>
      </c>
      <c r="AW187" s="596" t="s">
        <v>307</v>
      </c>
      <c r="AX187" s="596" t="s">
        <v>308</v>
      </c>
    </row>
    <row r="188" spans="4:50" ht="15" customHeight="1" x14ac:dyDescent="0.3">
      <c r="D188" s="604" t="s">
        <v>31</v>
      </c>
      <c r="E188" s="594"/>
      <c r="F188" s="151"/>
      <c r="G188" s="86" t="str">
        <f>IF(F188=$P$4,$Q$4,IF(F188=$P$5,$Q$5,IF(F188=$P$6,$Q$6,IF(F188=$P$7,Q$7,IF(F188=$P$8,"","")))))</f>
        <v/>
      </c>
      <c r="H188" s="201"/>
      <c r="I188" s="201"/>
      <c r="J188" s="168" t="s">
        <v>112</v>
      </c>
      <c r="K188" s="148"/>
      <c r="N188" s="200"/>
      <c r="R188" s="596"/>
      <c r="S188" s="596"/>
      <c r="T188" s="596"/>
      <c r="U188" s="596"/>
      <c r="V188" s="596"/>
      <c r="W188" s="596"/>
      <c r="X188" s="596"/>
      <c r="AA188" s="50"/>
      <c r="AD188" s="604" t="s">
        <v>31</v>
      </c>
      <c r="AE188" s="594"/>
      <c r="AF188" s="383"/>
      <c r="AG188" s="86" t="str">
        <f>IF(AF188=$P$4,$Q$4,IF(AF188=$P$5,$Q$5,IF(AF188=$P$6,$Q$6,IF(AF188=$P$7,AQ$7,IF(AF188=$P$8,"","")))))</f>
        <v/>
      </c>
      <c r="AH188" s="201"/>
      <c r="AI188" s="201"/>
      <c r="AJ188" s="168" t="s">
        <v>112</v>
      </c>
      <c r="AK188" s="382"/>
      <c r="AN188" s="200"/>
      <c r="AR188" s="596"/>
      <c r="AS188" s="596"/>
      <c r="AT188" s="596"/>
      <c r="AU188" s="596"/>
      <c r="AV188" s="596"/>
      <c r="AW188" s="596"/>
      <c r="AX188" s="596"/>
    </row>
    <row r="189" spans="4:50" ht="15" customHeight="1" x14ac:dyDescent="0.3">
      <c r="D189" s="244"/>
      <c r="E189" s="230" t="s">
        <v>52</v>
      </c>
      <c r="F189" s="9" t="s">
        <v>32</v>
      </c>
      <c r="G189" s="9" t="s">
        <v>33</v>
      </c>
      <c r="H189" s="9"/>
      <c r="I189" s="9"/>
      <c r="J189" s="9" t="s">
        <v>34</v>
      </c>
      <c r="K189" s="9"/>
      <c r="L189" s="9"/>
      <c r="M189" s="257" t="s">
        <v>35</v>
      </c>
      <c r="N189" s="202"/>
      <c r="O189" s="9"/>
      <c r="P189" s="198" t="s">
        <v>22</v>
      </c>
      <c r="Q189" s="198"/>
      <c r="R189" s="596"/>
      <c r="S189" s="596"/>
      <c r="T189" s="596"/>
      <c r="U189" s="596"/>
      <c r="V189" s="596"/>
      <c r="W189" s="596"/>
      <c r="X189" s="596"/>
      <c r="AA189" s="50"/>
      <c r="AD189" s="244"/>
      <c r="AE189" s="230" t="s">
        <v>52</v>
      </c>
      <c r="AF189" s="9" t="s">
        <v>32</v>
      </c>
      <c r="AG189" s="9" t="s">
        <v>33</v>
      </c>
      <c r="AH189" s="9"/>
      <c r="AI189" s="9"/>
      <c r="AJ189" s="9" t="s">
        <v>34</v>
      </c>
      <c r="AK189" s="9"/>
      <c r="AL189" s="9"/>
      <c r="AM189" s="257" t="s">
        <v>35</v>
      </c>
      <c r="AN189" s="202"/>
      <c r="AO189" s="9"/>
      <c r="AP189" s="198" t="s">
        <v>22</v>
      </c>
      <c r="AQ189" s="198"/>
      <c r="AR189" s="596"/>
      <c r="AS189" s="596"/>
      <c r="AT189" s="596"/>
      <c r="AU189" s="596"/>
      <c r="AV189" s="596"/>
      <c r="AW189" s="596"/>
      <c r="AX189" s="596"/>
    </row>
    <row r="190" spans="4:50" x14ac:dyDescent="0.3">
      <c r="D190" s="244"/>
      <c r="E190" s="355" t="str">
        <f>IF(OR(M190="",M190=0,J190="",G190=""),"",
(IF(AND(F188=$P$4,M190&lt;=$R$4),$V$4,0)+IF(AND(F188=$P$5,M190&lt;=$R$5),$V$5,0)+IF(AND(F188=$P$6,M190&lt;=$R$6),$V$6,0)+IF(AND(F188=$P$7,M190&lt;=$R$7),$V$7,0))
)</f>
        <v/>
      </c>
      <c r="F190" s="153" t="s">
        <v>302</v>
      </c>
      <c r="G190" s="616"/>
      <c r="H190" s="617"/>
      <c r="I190" s="618"/>
      <c r="J190" s="616"/>
      <c r="K190" s="617"/>
      <c r="L190" s="618"/>
      <c r="M190" s="255"/>
      <c r="N190" s="256"/>
      <c r="O190" s="388"/>
      <c r="P190" s="185">
        <f t="shared" ref="P190" si="191">IF(F188="",0,1)</f>
        <v>0</v>
      </c>
      <c r="R190" s="185" t="str">
        <f t="shared" ref="R190" si="192">E190</f>
        <v/>
      </c>
      <c r="S190" s="185" t="str">
        <f t="shared" ref="S190" si="193">E191</f>
        <v/>
      </c>
      <c r="T190" s="185" t="str">
        <f t="shared" ref="T190" si="194">E192</f>
        <v/>
      </c>
      <c r="U190" s="185" t="str">
        <f t="shared" ref="U190" si="195">E193</f>
        <v/>
      </c>
      <c r="V190" s="185" t="str">
        <f t="shared" ref="V190" si="196">E194</f>
        <v/>
      </c>
      <c r="W190" s="185" t="str">
        <f t="shared" ref="W190" si="197">E195</f>
        <v/>
      </c>
      <c r="X190" s="185" t="str">
        <f t="shared" ref="X190" si="198">E196</f>
        <v/>
      </c>
      <c r="AA190" s="50"/>
      <c r="AD190" s="244"/>
      <c r="AE190" s="355" t="str">
        <f>IF(OR(AM190="",AM190=0,AJ190="",AG190=""),"",
(IF(AND(AF188=$P$4,AM190&lt;=$R$4),$V$4,0)+IF(AND(AF188=$P$5,AM190&lt;=$R$5),$V$5,0)+IF(AND(AF188=$P$6,AM190&lt;=$R$6),$V$6,0)+IF(AND(AF188=$P$7,AM190&lt;=$R$7),$V$7,0))
)</f>
        <v/>
      </c>
      <c r="AF190" s="153" t="s">
        <v>302</v>
      </c>
      <c r="AG190" s="598"/>
      <c r="AH190" s="599"/>
      <c r="AI190" s="600"/>
      <c r="AJ190" s="598"/>
      <c r="AK190" s="599"/>
      <c r="AL190" s="600"/>
      <c r="AM190" s="384"/>
      <c r="AN190" s="256"/>
      <c r="AO190" s="388"/>
      <c r="AP190" s="185">
        <f t="shared" ref="AP190" si="199">IF(AF188="",0,1)</f>
        <v>0</v>
      </c>
      <c r="AR190" s="185" t="str">
        <f t="shared" ref="AR190" si="200">AE190</f>
        <v/>
      </c>
      <c r="AS190" s="185" t="str">
        <f t="shared" ref="AS190" si="201">AE191</f>
        <v/>
      </c>
      <c r="AT190" s="185" t="str">
        <f t="shared" ref="AT190" si="202">AE192</f>
        <v/>
      </c>
      <c r="AU190" s="185" t="str">
        <f t="shared" ref="AU190" si="203">AE193</f>
        <v/>
      </c>
      <c r="AV190" s="185" t="str">
        <f t="shared" ref="AV190" si="204">AE194</f>
        <v/>
      </c>
      <c r="AW190" s="185" t="str">
        <f t="shared" ref="AW190" si="205">AE195</f>
        <v/>
      </c>
      <c r="AX190" s="185" t="str">
        <f t="shared" ref="AX190" si="206">AE196</f>
        <v/>
      </c>
    </row>
    <row r="191" spans="4:50" x14ac:dyDescent="0.3">
      <c r="D191" s="244"/>
      <c r="E191" s="341" t="str">
        <f>IF(OR(M191="",M191=0,J191="",G191=""),"",
(IF(AND(F188=$P$4,M191&lt;=$R$4),$V$4,0)+IF(AND(F188=$P$5,M191&lt;=$R$5),$V$5,0)+IF(AND(F188=$P$6,M191&lt;=$R$6),$V$6,0)+IF(AND(F188=$P$7,M191&lt;=$R$7),$V$7,0))
)</f>
        <v/>
      </c>
      <c r="F191" s="153" t="s">
        <v>303</v>
      </c>
      <c r="G191" s="616"/>
      <c r="H191" s="617"/>
      <c r="I191" s="618"/>
      <c r="J191" s="616"/>
      <c r="K191" s="617"/>
      <c r="L191" s="618"/>
      <c r="M191" s="255"/>
      <c r="N191" s="256"/>
      <c r="O191" s="388"/>
      <c r="AA191" s="50"/>
      <c r="AD191" s="244"/>
      <c r="AE191" s="341" t="str">
        <f>IF(OR(AM191="",AM191=0,AJ191="",AG191=""),"",
(IF(AND(AF188=$P$4,AM191&lt;=$R$4),$V$4,0)+IF(AND(AF188=$P$5,AM191&lt;=$R$5),$V$5,0)+IF(AND(AF188=$P$6,AM191&lt;=$R$6),$V$6,0)+IF(AND(AF188=$P$7,AM191&lt;=$R$7),$V$7,0))
)</f>
        <v/>
      </c>
      <c r="AF191" s="153" t="s">
        <v>303</v>
      </c>
      <c r="AG191" s="598"/>
      <c r="AH191" s="599"/>
      <c r="AI191" s="600"/>
      <c r="AJ191" s="598"/>
      <c r="AK191" s="599"/>
      <c r="AL191" s="600"/>
      <c r="AM191" s="384"/>
      <c r="AN191" s="256"/>
      <c r="AO191" s="388"/>
    </row>
    <row r="192" spans="4:50" x14ac:dyDescent="0.3">
      <c r="D192" s="244"/>
      <c r="E192" s="341" t="str">
        <f>IF(OR(M192="",M192=0,J192="",G192=""),"",
(IF(AND(F188=$P$4,M192&lt;=$R$4),$V$4,0)+IF(AND(F188=$P$5,M192&lt;=$R$5),$V$5,0)+IF(AND(F188=$P$6,M192&lt;=$R$6),$V$6,0)+IF(AND(F188=$P$7,M192&lt;=$R$7),$V$7,0))
)</f>
        <v/>
      </c>
      <c r="F192" s="153" t="s">
        <v>304</v>
      </c>
      <c r="G192" s="616"/>
      <c r="H192" s="617"/>
      <c r="I192" s="618"/>
      <c r="J192" s="616"/>
      <c r="K192" s="617"/>
      <c r="L192" s="618"/>
      <c r="M192" s="255"/>
      <c r="N192" s="256"/>
      <c r="O192" s="388"/>
      <c r="AA192" s="50"/>
      <c r="AD192" s="244"/>
      <c r="AE192" s="341" t="str">
        <f>IF(OR(AM192="",AM192=0,AJ192="",AG192=""),"",
(IF(AND(AF188=$P$4,AM192&lt;=$R$4),$V$4,0)+IF(AND(AF188=$P$5,AM192&lt;=$R$5),$V$5,0)+IF(AND(AF188=$P$6,AM192&lt;=$R$6),$V$6,0)+IF(AND(AF188=$P$7,AM192&lt;=$R$7),$V$7,0))
)</f>
        <v/>
      </c>
      <c r="AF192" s="153" t="s">
        <v>304</v>
      </c>
      <c r="AG192" s="598"/>
      <c r="AH192" s="599"/>
      <c r="AI192" s="600"/>
      <c r="AJ192" s="598"/>
      <c r="AK192" s="599"/>
      <c r="AL192" s="600"/>
      <c r="AM192" s="384"/>
      <c r="AN192" s="256"/>
      <c r="AO192" s="388"/>
    </row>
    <row r="193" spans="4:50" x14ac:dyDescent="0.3">
      <c r="D193" s="244"/>
      <c r="E193" s="341" t="str">
        <f>IF(OR(M193="",M193=0,J193="",G193=""),"",
(IF(AND(F188=$P$4,M193&lt;=$R$4),$V$4,0)+IF(AND(F188=$P$5,M193&lt;=$R$5),$V$5,0)+IF(AND(F188=$P$6,M193&lt;=$R$6),$V$6,0)+IF(AND(F188=$P$7,M193&lt;=$R$7),$V$7,0))
)</f>
        <v/>
      </c>
      <c r="F193" s="153" t="s">
        <v>305</v>
      </c>
      <c r="G193" s="616"/>
      <c r="H193" s="617"/>
      <c r="I193" s="618"/>
      <c r="J193" s="616"/>
      <c r="K193" s="617"/>
      <c r="L193" s="618"/>
      <c r="M193" s="255"/>
      <c r="N193" s="256"/>
      <c r="O193" s="388"/>
      <c r="AA193" s="50"/>
      <c r="AD193" s="244"/>
      <c r="AE193" s="341" t="str">
        <f>IF(OR(AM193="",AM193=0,AJ193="",AG193=""),"",
(IF(AND(AF188=$P$4,AM193&lt;=$R$4),$V$4,0)+IF(AND(AF188=$P$5,AM193&lt;=$R$5),$V$5,0)+IF(AND(AF188=$P$6,AM193&lt;=$R$6),$V$6,0)+IF(AND(AF188=$P$7,AM193&lt;=$R$7),$V$7,0))
)</f>
        <v/>
      </c>
      <c r="AF193" s="153" t="s">
        <v>305</v>
      </c>
      <c r="AG193" s="598"/>
      <c r="AH193" s="599"/>
      <c r="AI193" s="600"/>
      <c r="AJ193" s="598"/>
      <c r="AK193" s="599"/>
      <c r="AL193" s="600"/>
      <c r="AM193" s="384"/>
      <c r="AN193" s="256"/>
      <c r="AO193" s="388"/>
    </row>
    <row r="194" spans="4:50" x14ac:dyDescent="0.3">
      <c r="D194" s="244"/>
      <c r="E194" s="341" t="str">
        <f>IF(OR(M194="",M194=0,J194="",G194=""),"",
(IF(AND(F188=$P$4,M194&lt;=$R$4),$V$4,0)+IF(AND(F188=$P$5,M194&lt;=$R$5),$V$5,0)+IF(AND(F188=$P$6,M194&lt;=$R$6),$V$6,0)+IF(AND(F188=$P$7,M194&lt;=$R$7),$V$7,0))
)</f>
        <v/>
      </c>
      <c r="F194" s="153" t="s">
        <v>306</v>
      </c>
      <c r="G194" s="616"/>
      <c r="H194" s="617"/>
      <c r="I194" s="618"/>
      <c r="J194" s="616"/>
      <c r="K194" s="617"/>
      <c r="L194" s="618"/>
      <c r="M194" s="255"/>
      <c r="N194" s="256"/>
      <c r="O194" s="388"/>
      <c r="AA194" s="50"/>
      <c r="AD194" s="244"/>
      <c r="AE194" s="341" t="str">
        <f>IF(OR(AM194="",AM194=0,AJ194="",AG194=""),"",
(IF(AND(AF188=$P$4,AM194&lt;=$R$4),$V$4,0)+IF(AND(AF188=$P$5,AM194&lt;=$R$5),$V$5,0)+IF(AND(AF188=$P$6,AM194&lt;=$R$6),$V$6,0)+IF(AND(AF188=$P$7,AM194&lt;=$R$7),$V$7,0))
)</f>
        <v/>
      </c>
      <c r="AF194" s="153" t="s">
        <v>306</v>
      </c>
      <c r="AG194" s="598"/>
      <c r="AH194" s="599"/>
      <c r="AI194" s="600"/>
      <c r="AJ194" s="598"/>
      <c r="AK194" s="599"/>
      <c r="AL194" s="600"/>
      <c r="AM194" s="384"/>
      <c r="AN194" s="256"/>
      <c r="AO194" s="388"/>
    </row>
    <row r="195" spans="4:50" ht="15" customHeight="1" x14ac:dyDescent="0.3">
      <c r="D195" s="244"/>
      <c r="E195" s="341" t="str">
        <f>IF(OR(M195="",M195=0,J195="",G195=""),"",
(IF(AND(F188=$P$4,M195&lt;=$R$4),$V$4,0)+IF(AND(F188=$P$5,M195&lt;=$R$5),$V$5,0)+IF(AND(F188=$P$6,M195&lt;=$R$6),$V$6,0)+IF(AND(F188=$P$7,M195&lt;=$R$7),$V$7,0))
)</f>
        <v/>
      </c>
      <c r="F195" s="153" t="s">
        <v>307</v>
      </c>
      <c r="G195" s="616"/>
      <c r="H195" s="617"/>
      <c r="I195" s="618"/>
      <c r="J195" s="616"/>
      <c r="K195" s="617"/>
      <c r="L195" s="618"/>
      <c r="M195" s="255"/>
      <c r="N195" s="256"/>
      <c r="O195" s="388"/>
      <c r="AA195" s="50"/>
      <c r="AD195" s="244"/>
      <c r="AE195" s="341" t="str">
        <f>IF(OR(AM195="",AM195=0,AJ195="",AG195=""),"",
(IF(AND(AF188=$P$4,AM195&lt;=$R$4),$V$4,0)+IF(AND(AF188=$P$5,AM195&lt;=$R$5),$V$5,0)+IF(AND(AF188=$P$6,AM195&lt;=$R$6),$V$6,0)+IF(AND(AF188=$P$7,AM195&lt;=$R$7),$V$7,0))
)</f>
        <v/>
      </c>
      <c r="AF195" s="153" t="s">
        <v>307</v>
      </c>
      <c r="AG195" s="598"/>
      <c r="AH195" s="599"/>
      <c r="AI195" s="600"/>
      <c r="AJ195" s="598"/>
      <c r="AK195" s="599"/>
      <c r="AL195" s="600"/>
      <c r="AM195" s="384"/>
      <c r="AN195" s="256"/>
      <c r="AO195" s="388"/>
    </row>
    <row r="196" spans="4:50" ht="15" customHeight="1" x14ac:dyDescent="0.3">
      <c r="D196" s="244"/>
      <c r="E196" s="341" t="str">
        <f>IF(OR(M196="",M196=0,J196="",G196=""),"",
(IF(AND(F188=$P$4,M196&lt;=$R$4),$V$4,0)+IF(AND(F188=$P$5,M196&lt;=$R$5),$V$5,0)+IF(AND(F188=$P$6,M196&lt;=$R$6),$V$6,0)+IF(AND(F188=$P$7,M196&lt;=$R$7),$V$7,0))
)</f>
        <v/>
      </c>
      <c r="F196" s="153" t="s">
        <v>308</v>
      </c>
      <c r="G196" s="616"/>
      <c r="H196" s="617"/>
      <c r="I196" s="618"/>
      <c r="J196" s="616"/>
      <c r="K196" s="617"/>
      <c r="L196" s="618"/>
      <c r="M196" s="255"/>
      <c r="N196" s="256"/>
      <c r="O196" s="388"/>
      <c r="AA196" s="50"/>
      <c r="AD196" s="244"/>
      <c r="AE196" s="341" t="str">
        <f>IF(OR(AM196="",AM196=0,AJ196="",AG196=""),"",
(IF(AND(AF188=$P$4,AM196&lt;=$R$4),$V$4,0)+IF(AND(AF188=$P$5,AM196&lt;=$R$5),$V$5,0)+IF(AND(AF188=$P$6,AM196&lt;=$R$6),$V$6,0)+IF(AND(AF188=$P$7,AM196&lt;=$R$7),$V$7,0))
)</f>
        <v/>
      </c>
      <c r="AF196" s="153" t="s">
        <v>308</v>
      </c>
      <c r="AG196" s="598"/>
      <c r="AH196" s="599"/>
      <c r="AI196" s="600"/>
      <c r="AJ196" s="598"/>
      <c r="AK196" s="599"/>
      <c r="AL196" s="600"/>
      <c r="AM196" s="384"/>
      <c r="AN196" s="256"/>
      <c r="AO196" s="388"/>
    </row>
    <row r="197" spans="4:50" ht="15" customHeight="1" thickBot="1" x14ac:dyDescent="0.35">
      <c r="D197" s="203"/>
      <c r="E197" s="3"/>
      <c r="F197" s="3"/>
      <c r="G197" s="3"/>
      <c r="H197" s="3"/>
      <c r="I197" s="3"/>
      <c r="J197" s="3"/>
      <c r="K197" s="3"/>
      <c r="L197" s="3"/>
      <c r="M197" s="3"/>
      <c r="N197" s="204"/>
      <c r="P197" s="2"/>
      <c r="AA197" s="50"/>
      <c r="AD197" s="203"/>
      <c r="AE197" s="3"/>
      <c r="AF197" s="3"/>
      <c r="AG197" s="3"/>
      <c r="AH197" s="3"/>
      <c r="AI197" s="3"/>
      <c r="AJ197" s="3"/>
      <c r="AK197" s="3"/>
      <c r="AL197" s="3"/>
      <c r="AM197" s="3"/>
      <c r="AN197" s="204"/>
      <c r="AP197" s="2"/>
    </row>
    <row r="198" spans="4:50" ht="15" customHeight="1" x14ac:dyDescent="0.3">
      <c r="D198" s="601" t="str">
        <f>IF(
OR(
OR(F200=$P$4,F200=$P$5,F200=$P$6,F200=$P$7),AND(G202="",G203="",G204="",G205="",G206="",G207="",G208="",J202="",J203="",J204="",J205="",J206="",J207="",J208="",M202="",M203="",M204="",M205="",M206="",M207="",M208="",K199="",K200="")
),
"",
"A Set-Aside must be selected."
)</f>
        <v/>
      </c>
      <c r="E198" s="602"/>
      <c r="F198" s="602"/>
      <c r="G198" s="602"/>
      <c r="H198" s="602"/>
      <c r="I198" s="602"/>
      <c r="J198" s="602"/>
      <c r="K198" s="602"/>
      <c r="L198" s="602"/>
      <c r="M198" s="602"/>
      <c r="N198" s="603"/>
      <c r="O198" s="2"/>
      <c r="AA198" s="50"/>
      <c r="AD198" s="601" t="str">
        <f>IF(
OR(
OR(AF200=$P$4,AF200=$P$5,AF200=$P$6,AF200=$P$7),AND(AG202="",AG203="",AG204="",AG205="",AG206="",AG207="",AG208="",AJ202="",AJ203="",AJ204="",AJ205="",AJ206="",AJ207="",AJ208="",AM202="",AM203="",AM204="",AM205="",AM206="",AM207="",AM208="",AK199="",AK200="")
),
"",
"A Set-Aside must be selected."
)</f>
        <v/>
      </c>
      <c r="AE198" s="602"/>
      <c r="AF198" s="602"/>
      <c r="AG198" s="602"/>
      <c r="AH198" s="602"/>
      <c r="AI198" s="602"/>
      <c r="AJ198" s="602"/>
      <c r="AK198" s="602"/>
      <c r="AL198" s="602"/>
      <c r="AM198" s="602"/>
      <c r="AN198" s="603"/>
      <c r="AO198" s="2"/>
    </row>
    <row r="199" spans="4:50" ht="15" customHeight="1" x14ac:dyDescent="0.3">
      <c r="D199" s="199"/>
      <c r="E199" s="9" t="s">
        <v>30</v>
      </c>
      <c r="F199" s="86">
        <f>F187+1</f>
        <v>14</v>
      </c>
      <c r="G199" s="9" t="s">
        <v>175</v>
      </c>
      <c r="H199" s="9"/>
      <c r="I199" s="9"/>
      <c r="J199" s="168" t="s">
        <v>111</v>
      </c>
      <c r="K199" s="148"/>
      <c r="N199" s="200"/>
      <c r="R199" s="596" t="s">
        <v>302</v>
      </c>
      <c r="S199" s="596" t="s">
        <v>303</v>
      </c>
      <c r="T199" s="596" t="s">
        <v>304</v>
      </c>
      <c r="U199" s="596" t="s">
        <v>305</v>
      </c>
      <c r="V199" s="596" t="s">
        <v>306</v>
      </c>
      <c r="W199" s="596" t="s">
        <v>307</v>
      </c>
      <c r="X199" s="596" t="s">
        <v>308</v>
      </c>
      <c r="AA199" s="50"/>
      <c r="AD199" s="199"/>
      <c r="AE199" s="9" t="s">
        <v>30</v>
      </c>
      <c r="AF199" s="86">
        <f>AF187+1</f>
        <v>14</v>
      </c>
      <c r="AG199" s="9" t="s">
        <v>175</v>
      </c>
      <c r="AH199" s="9"/>
      <c r="AI199" s="9"/>
      <c r="AJ199" s="168" t="s">
        <v>111</v>
      </c>
      <c r="AK199" s="382"/>
      <c r="AN199" s="200"/>
      <c r="AR199" s="596" t="s">
        <v>302</v>
      </c>
      <c r="AS199" s="596" t="s">
        <v>303</v>
      </c>
      <c r="AT199" s="596" t="s">
        <v>304</v>
      </c>
      <c r="AU199" s="596" t="s">
        <v>305</v>
      </c>
      <c r="AV199" s="596" t="s">
        <v>306</v>
      </c>
      <c r="AW199" s="596" t="s">
        <v>307</v>
      </c>
      <c r="AX199" s="596" t="s">
        <v>308</v>
      </c>
    </row>
    <row r="200" spans="4:50" x14ac:dyDescent="0.3">
      <c r="D200" s="604" t="s">
        <v>31</v>
      </c>
      <c r="E200" s="594"/>
      <c r="F200" s="151"/>
      <c r="G200" s="86" t="str">
        <f>IF(F200=$P$4,$Q$4,IF(F200=$P$5,$Q$5,IF(F200=$P$6,$Q$6,IF(F200=$P$7,Q$7,IF(F200=$P$8,"","")))))</f>
        <v/>
      </c>
      <c r="H200" s="201"/>
      <c r="I200" s="201"/>
      <c r="J200" s="168" t="s">
        <v>112</v>
      </c>
      <c r="K200" s="148"/>
      <c r="N200" s="200"/>
      <c r="R200" s="596"/>
      <c r="S200" s="596"/>
      <c r="T200" s="596"/>
      <c r="U200" s="596"/>
      <c r="V200" s="596"/>
      <c r="W200" s="596"/>
      <c r="X200" s="596"/>
      <c r="AA200" s="50"/>
      <c r="AD200" s="604" t="s">
        <v>31</v>
      </c>
      <c r="AE200" s="594"/>
      <c r="AF200" s="383"/>
      <c r="AG200" s="86" t="str">
        <f>IF(AF200=$P$4,$Q$4,IF(AF200=$P$5,$Q$5,IF(AF200=$P$6,$Q$6,IF(AF200=$P$7,AQ$7,IF(AF200=$P$8,"","")))))</f>
        <v/>
      </c>
      <c r="AH200" s="201"/>
      <c r="AI200" s="201"/>
      <c r="AJ200" s="168" t="s">
        <v>112</v>
      </c>
      <c r="AK200" s="382"/>
      <c r="AN200" s="200"/>
      <c r="AR200" s="596"/>
      <c r="AS200" s="596"/>
      <c r="AT200" s="596"/>
      <c r="AU200" s="596"/>
      <c r="AV200" s="596"/>
      <c r="AW200" s="596"/>
      <c r="AX200" s="596"/>
    </row>
    <row r="201" spans="4:50" x14ac:dyDescent="0.3">
      <c r="D201" s="244"/>
      <c r="E201" s="230" t="s">
        <v>52</v>
      </c>
      <c r="F201" s="9" t="s">
        <v>32</v>
      </c>
      <c r="G201" s="9" t="s">
        <v>33</v>
      </c>
      <c r="H201" s="9"/>
      <c r="I201" s="9"/>
      <c r="J201" s="9" t="s">
        <v>34</v>
      </c>
      <c r="K201" s="9"/>
      <c r="L201" s="9"/>
      <c r="M201" s="257" t="s">
        <v>35</v>
      </c>
      <c r="N201" s="202"/>
      <c r="O201" s="9"/>
      <c r="P201" s="198" t="s">
        <v>22</v>
      </c>
      <c r="Q201" s="198"/>
      <c r="R201" s="596"/>
      <c r="S201" s="596"/>
      <c r="T201" s="596"/>
      <c r="U201" s="596"/>
      <c r="V201" s="596"/>
      <c r="W201" s="596"/>
      <c r="X201" s="596"/>
      <c r="AA201" s="50"/>
      <c r="AD201" s="244"/>
      <c r="AE201" s="230" t="s">
        <v>52</v>
      </c>
      <c r="AF201" s="9" t="s">
        <v>32</v>
      </c>
      <c r="AG201" s="9" t="s">
        <v>33</v>
      </c>
      <c r="AH201" s="9"/>
      <c r="AI201" s="9"/>
      <c r="AJ201" s="9" t="s">
        <v>34</v>
      </c>
      <c r="AK201" s="9"/>
      <c r="AL201" s="9"/>
      <c r="AM201" s="257" t="s">
        <v>35</v>
      </c>
      <c r="AN201" s="202"/>
      <c r="AO201" s="9"/>
      <c r="AP201" s="198" t="s">
        <v>22</v>
      </c>
      <c r="AQ201" s="198"/>
      <c r="AR201" s="596"/>
      <c r="AS201" s="596"/>
      <c r="AT201" s="596"/>
      <c r="AU201" s="596"/>
      <c r="AV201" s="596"/>
      <c r="AW201" s="596"/>
      <c r="AX201" s="596"/>
    </row>
    <row r="202" spans="4:50" x14ac:dyDescent="0.3">
      <c r="D202" s="244"/>
      <c r="E202" s="355" t="str">
        <f>IF(OR(M202="",M202=0,J202="",G202=""),"",
(IF(AND(F200=$P$4,M202&lt;=$R$4),$V$4,0)+IF(AND(F200=$P$5,M202&lt;=$R$5),$V$5,0)+IF(AND(F200=$P$6,M202&lt;=$R$6),$V$6,0)+IF(AND(F200=$P$7,M202&lt;=$R$7),$V$7,0))
)</f>
        <v/>
      </c>
      <c r="F202" s="153" t="s">
        <v>302</v>
      </c>
      <c r="G202" s="616"/>
      <c r="H202" s="617"/>
      <c r="I202" s="618"/>
      <c r="J202" s="616"/>
      <c r="K202" s="617"/>
      <c r="L202" s="618"/>
      <c r="M202" s="255"/>
      <c r="N202" s="256"/>
      <c r="O202" s="388"/>
      <c r="P202" s="185">
        <f t="shared" ref="P202" si="207">IF(F200="",0,1)</f>
        <v>0</v>
      </c>
      <c r="R202" s="185" t="str">
        <f t="shared" ref="R202" si="208">E202</f>
        <v/>
      </c>
      <c r="S202" s="185" t="str">
        <f t="shared" ref="S202" si="209">E203</f>
        <v/>
      </c>
      <c r="T202" s="185" t="str">
        <f t="shared" ref="T202" si="210">E204</f>
        <v/>
      </c>
      <c r="U202" s="185" t="str">
        <f t="shared" ref="U202" si="211">E205</f>
        <v/>
      </c>
      <c r="V202" s="185" t="str">
        <f t="shared" ref="V202" si="212">E206</f>
        <v/>
      </c>
      <c r="W202" s="185" t="str">
        <f t="shared" ref="W202" si="213">E207</f>
        <v/>
      </c>
      <c r="X202" s="185" t="str">
        <f t="shared" ref="X202" si="214">E208</f>
        <v/>
      </c>
      <c r="AA202" s="50"/>
      <c r="AD202" s="244"/>
      <c r="AE202" s="355" t="str">
        <f>IF(OR(AM202="",AM202=0,AJ202="",AG202=""),"",
(IF(AND(AF200=$P$4,AM202&lt;=$R$4),$V$4,0)+IF(AND(AF200=$P$5,AM202&lt;=$R$5),$V$5,0)+IF(AND(AF200=$P$6,AM202&lt;=$R$6),$V$6,0)+IF(AND(AF200=$P$7,AM202&lt;=$R$7),$V$7,0))
)</f>
        <v/>
      </c>
      <c r="AF202" s="153" t="s">
        <v>302</v>
      </c>
      <c r="AG202" s="598"/>
      <c r="AH202" s="599"/>
      <c r="AI202" s="600"/>
      <c r="AJ202" s="598"/>
      <c r="AK202" s="599"/>
      <c r="AL202" s="600"/>
      <c r="AM202" s="384"/>
      <c r="AN202" s="256"/>
      <c r="AO202" s="388"/>
      <c r="AP202" s="185">
        <f t="shared" ref="AP202" si="215">IF(AF200="",0,1)</f>
        <v>0</v>
      </c>
      <c r="AR202" s="185" t="str">
        <f t="shared" ref="AR202" si="216">AE202</f>
        <v/>
      </c>
      <c r="AS202" s="185" t="str">
        <f t="shared" ref="AS202" si="217">AE203</f>
        <v/>
      </c>
      <c r="AT202" s="185" t="str">
        <f t="shared" ref="AT202" si="218">AE204</f>
        <v/>
      </c>
      <c r="AU202" s="185" t="str">
        <f t="shared" ref="AU202" si="219">AE205</f>
        <v/>
      </c>
      <c r="AV202" s="185" t="str">
        <f t="shared" ref="AV202" si="220">AE206</f>
        <v/>
      </c>
      <c r="AW202" s="185" t="str">
        <f t="shared" ref="AW202" si="221">AE207</f>
        <v/>
      </c>
      <c r="AX202" s="185" t="str">
        <f t="shared" ref="AX202" si="222">AE208</f>
        <v/>
      </c>
    </row>
    <row r="203" spans="4:50" x14ac:dyDescent="0.3">
      <c r="D203" s="244"/>
      <c r="E203" s="341" t="str">
        <f>IF(OR(M203="",M203=0,J203="",G203=""),"",
(IF(AND(F200=$P$4,M203&lt;=$R$4),$V$4,0)+IF(AND(F200=$P$5,M203&lt;=$R$5),$V$5,0)+IF(AND(F200=$P$6,M203&lt;=$R$6),$V$6,0)+IF(AND(F200=$P$7,M203&lt;=$R$7),$V$7,0))
)</f>
        <v/>
      </c>
      <c r="F203" s="153" t="s">
        <v>303</v>
      </c>
      <c r="G203" s="616"/>
      <c r="H203" s="617"/>
      <c r="I203" s="618"/>
      <c r="J203" s="616"/>
      <c r="K203" s="617"/>
      <c r="L203" s="618"/>
      <c r="M203" s="255"/>
      <c r="N203" s="256"/>
      <c r="O203" s="388"/>
      <c r="AA203" s="50"/>
      <c r="AD203" s="244"/>
      <c r="AE203" s="341" t="str">
        <f>IF(OR(AM203="",AM203=0,AJ203="",AG203=""),"",
(IF(AND(AF200=$P$4,AM203&lt;=$R$4),$V$4,0)+IF(AND(AF200=$P$5,AM203&lt;=$R$5),$V$5,0)+IF(AND(AF200=$P$6,AM203&lt;=$R$6),$V$6,0)+IF(AND(AF200=$P$7,AM203&lt;=$R$7),$V$7,0))
)</f>
        <v/>
      </c>
      <c r="AF203" s="153" t="s">
        <v>303</v>
      </c>
      <c r="AG203" s="598"/>
      <c r="AH203" s="599"/>
      <c r="AI203" s="600"/>
      <c r="AJ203" s="598"/>
      <c r="AK203" s="599"/>
      <c r="AL203" s="600"/>
      <c r="AM203" s="384"/>
      <c r="AN203" s="256"/>
      <c r="AO203" s="388"/>
    </row>
    <row r="204" spans="4:50" x14ac:dyDescent="0.3">
      <c r="D204" s="244"/>
      <c r="E204" s="341" t="str">
        <f>IF(OR(M204="",M204=0,J204="",G204=""),"",
(IF(AND(F200=$P$4,M204&lt;=$R$4),$V$4,0)+IF(AND(F200=$P$5,M204&lt;=$R$5),$V$5,0)+IF(AND(F200=$P$6,M204&lt;=$R$6),$V$6,0)+IF(AND(F200=$P$7,M204&lt;=$R$7),$V$7,0))
)</f>
        <v/>
      </c>
      <c r="F204" s="153" t="s">
        <v>304</v>
      </c>
      <c r="G204" s="616"/>
      <c r="H204" s="617"/>
      <c r="I204" s="618"/>
      <c r="J204" s="616"/>
      <c r="K204" s="617"/>
      <c r="L204" s="618"/>
      <c r="M204" s="255"/>
      <c r="N204" s="256"/>
      <c r="O204" s="388"/>
      <c r="AA204" s="50"/>
      <c r="AD204" s="244"/>
      <c r="AE204" s="341" t="str">
        <f>IF(OR(AM204="",AM204=0,AJ204="",AG204=""),"",
(IF(AND(AF200=$P$4,AM204&lt;=$R$4),$V$4,0)+IF(AND(AF200=$P$5,AM204&lt;=$R$5),$V$5,0)+IF(AND(AF200=$P$6,AM204&lt;=$R$6),$V$6,0)+IF(AND(AF200=$P$7,AM204&lt;=$R$7),$V$7,0))
)</f>
        <v/>
      </c>
      <c r="AF204" s="153" t="s">
        <v>304</v>
      </c>
      <c r="AG204" s="598"/>
      <c r="AH204" s="599"/>
      <c r="AI204" s="600"/>
      <c r="AJ204" s="598"/>
      <c r="AK204" s="599"/>
      <c r="AL204" s="600"/>
      <c r="AM204" s="384"/>
      <c r="AN204" s="256"/>
      <c r="AO204" s="388"/>
    </row>
    <row r="205" spans="4:50" ht="15" customHeight="1" x14ac:dyDescent="0.3">
      <c r="D205" s="244"/>
      <c r="E205" s="341" t="str">
        <f>IF(OR(M205="",M205=0,J205="",G205=""),"",
(IF(AND(F200=$P$4,M205&lt;=$R$4),$V$4,0)+IF(AND(F200=$P$5,M205&lt;=$R$5),$V$5,0)+IF(AND(F200=$P$6,M205&lt;=$R$6),$V$6,0)+IF(AND(F200=$P$7,M205&lt;=$R$7),$V$7,0))
)</f>
        <v/>
      </c>
      <c r="F205" s="153" t="s">
        <v>305</v>
      </c>
      <c r="G205" s="616"/>
      <c r="H205" s="617"/>
      <c r="I205" s="618"/>
      <c r="J205" s="616"/>
      <c r="K205" s="617"/>
      <c r="L205" s="618"/>
      <c r="M205" s="255"/>
      <c r="N205" s="256"/>
      <c r="O205" s="388"/>
      <c r="AA205" s="50"/>
      <c r="AD205" s="244"/>
      <c r="AE205" s="341" t="str">
        <f>IF(OR(AM205="",AM205=0,AJ205="",AG205=""),"",
(IF(AND(AF200=$P$4,AM205&lt;=$R$4),$V$4,0)+IF(AND(AF200=$P$5,AM205&lt;=$R$5),$V$5,0)+IF(AND(AF200=$P$6,AM205&lt;=$R$6),$V$6,0)+IF(AND(AF200=$P$7,AM205&lt;=$R$7),$V$7,0))
)</f>
        <v/>
      </c>
      <c r="AF205" s="153" t="s">
        <v>305</v>
      </c>
      <c r="AG205" s="598"/>
      <c r="AH205" s="599"/>
      <c r="AI205" s="600"/>
      <c r="AJ205" s="598"/>
      <c r="AK205" s="599"/>
      <c r="AL205" s="600"/>
      <c r="AM205" s="384"/>
      <c r="AN205" s="256"/>
      <c r="AO205" s="388"/>
    </row>
    <row r="206" spans="4:50" ht="15" customHeight="1" x14ac:dyDescent="0.3">
      <c r="D206" s="244"/>
      <c r="E206" s="341" t="str">
        <f>IF(OR(M206="",M206=0,J206="",G206=""),"",
(IF(AND(F200=$P$4,M206&lt;=$R$4),$V$4,0)+IF(AND(F200=$P$5,M206&lt;=$R$5),$V$5,0)+IF(AND(F200=$P$6,M206&lt;=$R$6),$V$6,0)+IF(AND(F200=$P$7,M206&lt;=$R$7),$V$7,0))
)</f>
        <v/>
      </c>
      <c r="F206" s="153" t="s">
        <v>306</v>
      </c>
      <c r="G206" s="616"/>
      <c r="H206" s="617"/>
      <c r="I206" s="618"/>
      <c r="J206" s="616"/>
      <c r="K206" s="617"/>
      <c r="L206" s="618"/>
      <c r="M206" s="255"/>
      <c r="N206" s="256"/>
      <c r="O206" s="388"/>
      <c r="AA206" s="50"/>
      <c r="AD206" s="244"/>
      <c r="AE206" s="341" t="str">
        <f>IF(OR(AM206="",AM206=0,AJ206="",AG206=""),"",
(IF(AND(AF200=$P$4,AM206&lt;=$R$4),$V$4,0)+IF(AND(AF200=$P$5,AM206&lt;=$R$5),$V$5,0)+IF(AND(AF200=$P$6,AM206&lt;=$R$6),$V$6,0)+IF(AND(AF200=$P$7,AM206&lt;=$R$7),$V$7,0))
)</f>
        <v/>
      </c>
      <c r="AF206" s="153" t="s">
        <v>306</v>
      </c>
      <c r="AG206" s="598"/>
      <c r="AH206" s="599"/>
      <c r="AI206" s="600"/>
      <c r="AJ206" s="598"/>
      <c r="AK206" s="599"/>
      <c r="AL206" s="600"/>
      <c r="AM206" s="384"/>
      <c r="AN206" s="256"/>
      <c r="AO206" s="388"/>
    </row>
    <row r="207" spans="4:50" ht="15" customHeight="1" x14ac:dyDescent="0.3">
      <c r="D207" s="244"/>
      <c r="E207" s="341" t="str">
        <f>IF(OR(M207="",M207=0,J207="",G207=""),"",
(IF(AND(F200=$P$4,M207&lt;=$R$4),$V$4,0)+IF(AND(F200=$P$5,M207&lt;=$R$5),$V$5,0)+IF(AND(F200=$P$6,M207&lt;=$R$6),$V$6,0)+IF(AND(F200=$P$7,M207&lt;=$R$7),$V$7,0))
)</f>
        <v/>
      </c>
      <c r="F207" s="153" t="s">
        <v>307</v>
      </c>
      <c r="G207" s="616"/>
      <c r="H207" s="617"/>
      <c r="I207" s="618"/>
      <c r="J207" s="616"/>
      <c r="K207" s="617"/>
      <c r="L207" s="618"/>
      <c r="M207" s="255"/>
      <c r="N207" s="256"/>
      <c r="O207" s="388"/>
      <c r="AA207" s="50"/>
      <c r="AD207" s="244"/>
      <c r="AE207" s="341" t="str">
        <f>IF(OR(AM207="",AM207=0,AJ207="",AG207=""),"",
(IF(AND(AF200=$P$4,AM207&lt;=$R$4),$V$4,0)+IF(AND(AF200=$P$5,AM207&lt;=$R$5),$V$5,0)+IF(AND(AF200=$P$6,AM207&lt;=$R$6),$V$6,0)+IF(AND(AF200=$P$7,AM207&lt;=$R$7),$V$7,0))
)</f>
        <v/>
      </c>
      <c r="AF207" s="153" t="s">
        <v>307</v>
      </c>
      <c r="AG207" s="598"/>
      <c r="AH207" s="599"/>
      <c r="AI207" s="600"/>
      <c r="AJ207" s="598"/>
      <c r="AK207" s="599"/>
      <c r="AL207" s="600"/>
      <c r="AM207" s="384"/>
      <c r="AN207" s="256"/>
      <c r="AO207" s="388"/>
    </row>
    <row r="208" spans="4:50" ht="15" customHeight="1" x14ac:dyDescent="0.3">
      <c r="D208" s="244"/>
      <c r="E208" s="341" t="str">
        <f>IF(OR(M208="",M208=0,J208="",G208=""),"",
(IF(AND(F200=$P$4,M208&lt;=$R$4),$V$4,0)+IF(AND(F200=$P$5,M208&lt;=$R$5),$V$5,0)+IF(AND(F200=$P$6,M208&lt;=$R$6),$V$6,0)+IF(AND(F200=$P$7,M208&lt;=$R$7),$V$7,0))
)</f>
        <v/>
      </c>
      <c r="F208" s="153" t="s">
        <v>308</v>
      </c>
      <c r="G208" s="616"/>
      <c r="H208" s="617"/>
      <c r="I208" s="618"/>
      <c r="J208" s="616"/>
      <c r="K208" s="617"/>
      <c r="L208" s="618"/>
      <c r="M208" s="255"/>
      <c r="N208" s="256"/>
      <c r="O208" s="388"/>
      <c r="AA208" s="50"/>
      <c r="AD208" s="244"/>
      <c r="AE208" s="341" t="str">
        <f>IF(OR(AM208="",AM208=0,AJ208="",AG208=""),"",
(IF(AND(AF200=$P$4,AM208&lt;=$R$4),$V$4,0)+IF(AND(AF200=$P$5,AM208&lt;=$R$5),$V$5,0)+IF(AND(AF200=$P$6,AM208&lt;=$R$6),$V$6,0)+IF(AND(AF200=$P$7,AM208&lt;=$R$7),$V$7,0))
)</f>
        <v/>
      </c>
      <c r="AF208" s="153" t="s">
        <v>308</v>
      </c>
      <c r="AG208" s="598"/>
      <c r="AH208" s="599"/>
      <c r="AI208" s="600"/>
      <c r="AJ208" s="598"/>
      <c r="AK208" s="599"/>
      <c r="AL208" s="600"/>
      <c r="AM208" s="384"/>
      <c r="AN208" s="256"/>
      <c r="AO208" s="388"/>
    </row>
    <row r="209" spans="4:50" ht="15" customHeight="1" thickBot="1" x14ac:dyDescent="0.35">
      <c r="D209" s="203"/>
      <c r="E209" s="3"/>
      <c r="F209" s="3"/>
      <c r="G209" s="3"/>
      <c r="H209" s="3"/>
      <c r="I209" s="3"/>
      <c r="J209" s="3"/>
      <c r="K209" s="3"/>
      <c r="L209" s="3"/>
      <c r="M209" s="3"/>
      <c r="N209" s="204"/>
      <c r="P209" s="2"/>
      <c r="AA209" s="50"/>
      <c r="AD209" s="203"/>
      <c r="AE209" s="3"/>
      <c r="AF209" s="3"/>
      <c r="AG209" s="3"/>
      <c r="AH209" s="3"/>
      <c r="AI209" s="3"/>
      <c r="AJ209" s="3"/>
      <c r="AK209" s="3"/>
      <c r="AL209" s="3"/>
      <c r="AM209" s="3"/>
      <c r="AN209" s="204"/>
      <c r="AP209" s="2"/>
    </row>
    <row r="210" spans="4:50" x14ac:dyDescent="0.3">
      <c r="D210" s="601" t="str">
        <f>IF(
OR(
OR(F212=$P$4,F212=$P$5,F212=$P$6,F212=$P$7),AND(G214="",G215="",G216="",G217="",G218="",G219="",G220="",J214="",J215="",J216="",J217="",J218="",J219="",J220="",M214="",M215="",M216="",M217="",M218="",M219="",M220="",K211="",K212="")
),
"",
"A Set-Aside must be selected."
)</f>
        <v/>
      </c>
      <c r="E210" s="602"/>
      <c r="F210" s="602"/>
      <c r="G210" s="602"/>
      <c r="H210" s="602"/>
      <c r="I210" s="602"/>
      <c r="J210" s="602"/>
      <c r="K210" s="602"/>
      <c r="L210" s="602"/>
      <c r="M210" s="602"/>
      <c r="N210" s="603"/>
      <c r="O210" s="2"/>
      <c r="AA210" s="50"/>
      <c r="AD210" s="601" t="str">
        <f>IF(
OR(
OR(AF212=$P$4,AF212=$P$5,AF212=$P$6,AF212=$P$7),AND(AG214="",AG215="",AG216="",AG217="",AG218="",AG219="",AG220="",AJ214="",AJ215="",AJ216="",AJ217="",AJ218="",AJ219="",AJ220="",AM214="",AM215="",AM216="",AM217="",AM218="",AM219="",AM220="",AK211="",AK212="")
),
"",
"A Set-Aside must be selected."
)</f>
        <v/>
      </c>
      <c r="AE210" s="602"/>
      <c r="AF210" s="602"/>
      <c r="AG210" s="602"/>
      <c r="AH210" s="602"/>
      <c r="AI210" s="602"/>
      <c r="AJ210" s="602"/>
      <c r="AK210" s="602"/>
      <c r="AL210" s="602"/>
      <c r="AM210" s="602"/>
      <c r="AN210" s="603"/>
      <c r="AO210" s="2"/>
    </row>
    <row r="211" spans="4:50" ht="15.75" customHeight="1" x14ac:dyDescent="0.3">
      <c r="D211" s="199"/>
      <c r="E211" s="9" t="s">
        <v>30</v>
      </c>
      <c r="F211" s="86">
        <f>F199+1</f>
        <v>15</v>
      </c>
      <c r="G211" s="9" t="s">
        <v>175</v>
      </c>
      <c r="H211" s="9"/>
      <c r="I211" s="9"/>
      <c r="J211" s="168" t="s">
        <v>111</v>
      </c>
      <c r="K211" s="148"/>
      <c r="N211" s="200"/>
      <c r="R211" s="596" t="s">
        <v>302</v>
      </c>
      <c r="S211" s="596" t="s">
        <v>303</v>
      </c>
      <c r="T211" s="596" t="s">
        <v>304</v>
      </c>
      <c r="U211" s="596" t="s">
        <v>305</v>
      </c>
      <c r="V211" s="596" t="s">
        <v>306</v>
      </c>
      <c r="W211" s="596" t="s">
        <v>307</v>
      </c>
      <c r="X211" s="596" t="s">
        <v>308</v>
      </c>
      <c r="AA211" s="50"/>
      <c r="AD211" s="199"/>
      <c r="AE211" s="9" t="s">
        <v>30</v>
      </c>
      <c r="AF211" s="86">
        <f>AF199+1</f>
        <v>15</v>
      </c>
      <c r="AG211" s="9" t="s">
        <v>175</v>
      </c>
      <c r="AH211" s="9"/>
      <c r="AI211" s="9"/>
      <c r="AJ211" s="168" t="s">
        <v>111</v>
      </c>
      <c r="AK211" s="382"/>
      <c r="AN211" s="200"/>
      <c r="AR211" s="596" t="s">
        <v>302</v>
      </c>
      <c r="AS211" s="596" t="s">
        <v>303</v>
      </c>
      <c r="AT211" s="596" t="s">
        <v>304</v>
      </c>
      <c r="AU211" s="596" t="s">
        <v>305</v>
      </c>
      <c r="AV211" s="596" t="s">
        <v>306</v>
      </c>
      <c r="AW211" s="596" t="s">
        <v>307</v>
      </c>
      <c r="AX211" s="596" t="s">
        <v>308</v>
      </c>
    </row>
    <row r="212" spans="4:50" x14ac:dyDescent="0.3">
      <c r="D212" s="604" t="s">
        <v>31</v>
      </c>
      <c r="E212" s="594"/>
      <c r="F212" s="151"/>
      <c r="G212" s="86" t="str">
        <f>IF(F212=$P$4,$Q$4,IF(F212=$P$5,$Q$5,IF(F212=$P$6,$Q$6,IF(F212=$P$7,Q$7,IF(F212=$P$8,"","")))))</f>
        <v/>
      </c>
      <c r="H212" s="201"/>
      <c r="I212" s="201"/>
      <c r="J212" s="168" t="s">
        <v>112</v>
      </c>
      <c r="K212" s="148"/>
      <c r="N212" s="200"/>
      <c r="R212" s="596"/>
      <c r="S212" s="596"/>
      <c r="T212" s="596"/>
      <c r="U212" s="596"/>
      <c r="V212" s="596"/>
      <c r="W212" s="596"/>
      <c r="X212" s="596"/>
      <c r="AA212" s="50"/>
      <c r="AD212" s="604" t="s">
        <v>31</v>
      </c>
      <c r="AE212" s="594"/>
      <c r="AF212" s="383"/>
      <c r="AG212" s="86" t="str">
        <f>IF(AF212=$P$4,$Q$4,IF(AF212=$P$5,$Q$5,IF(AF212=$P$6,$Q$6,IF(AF212=$P$7,AQ$7,IF(AF212=$P$8,"","")))))</f>
        <v/>
      </c>
      <c r="AH212" s="201"/>
      <c r="AI212" s="201"/>
      <c r="AJ212" s="168" t="s">
        <v>112</v>
      </c>
      <c r="AK212" s="382"/>
      <c r="AN212" s="200"/>
      <c r="AR212" s="596"/>
      <c r="AS212" s="596"/>
      <c r="AT212" s="596"/>
      <c r="AU212" s="596"/>
      <c r="AV212" s="596"/>
      <c r="AW212" s="596"/>
      <c r="AX212" s="596"/>
    </row>
    <row r="213" spans="4:50" x14ac:dyDescent="0.3">
      <c r="D213" s="244"/>
      <c r="E213" s="230" t="s">
        <v>52</v>
      </c>
      <c r="F213" s="9" t="s">
        <v>32</v>
      </c>
      <c r="G213" s="9" t="s">
        <v>33</v>
      </c>
      <c r="H213" s="9"/>
      <c r="I213" s="9"/>
      <c r="J213" s="9" t="s">
        <v>34</v>
      </c>
      <c r="K213" s="9"/>
      <c r="L213" s="9"/>
      <c r="M213" s="257" t="s">
        <v>35</v>
      </c>
      <c r="N213" s="202"/>
      <c r="O213" s="9"/>
      <c r="P213" s="198" t="s">
        <v>22</v>
      </c>
      <c r="Q213" s="198"/>
      <c r="R213" s="596"/>
      <c r="S213" s="596"/>
      <c r="T213" s="596"/>
      <c r="U213" s="596"/>
      <c r="V213" s="596"/>
      <c r="W213" s="596"/>
      <c r="X213" s="596"/>
      <c r="AA213" s="50"/>
      <c r="AD213" s="244"/>
      <c r="AE213" s="230" t="s">
        <v>52</v>
      </c>
      <c r="AF213" s="9" t="s">
        <v>32</v>
      </c>
      <c r="AG213" s="9" t="s">
        <v>33</v>
      </c>
      <c r="AH213" s="9"/>
      <c r="AI213" s="9"/>
      <c r="AJ213" s="9" t="s">
        <v>34</v>
      </c>
      <c r="AK213" s="9"/>
      <c r="AL213" s="9"/>
      <c r="AM213" s="257" t="s">
        <v>35</v>
      </c>
      <c r="AN213" s="202"/>
      <c r="AO213" s="9"/>
      <c r="AP213" s="198" t="s">
        <v>22</v>
      </c>
      <c r="AQ213" s="198"/>
      <c r="AR213" s="596"/>
      <c r="AS213" s="596"/>
      <c r="AT213" s="596"/>
      <c r="AU213" s="596"/>
      <c r="AV213" s="596"/>
      <c r="AW213" s="596"/>
      <c r="AX213" s="596"/>
    </row>
    <row r="214" spans="4:50" x14ac:dyDescent="0.3">
      <c r="D214" s="244"/>
      <c r="E214" s="355" t="str">
        <f>IF(OR(M214="",M214=0,J214="",G214=""),"",
(IF(AND(F212=$P$4,M214&lt;=$R$4),$V$4,0)+IF(AND(F212=$P$5,M214&lt;=$R$5),$V$5,0)+IF(AND(F212=$P$6,M214&lt;=$R$6),$V$6,0)+IF(AND(F212=$P$7,M214&lt;=$R$7),$V$7,0))
)</f>
        <v/>
      </c>
      <c r="F214" s="153" t="s">
        <v>302</v>
      </c>
      <c r="G214" s="616"/>
      <c r="H214" s="617"/>
      <c r="I214" s="618"/>
      <c r="J214" s="616"/>
      <c r="K214" s="617"/>
      <c r="L214" s="618"/>
      <c r="M214" s="255"/>
      <c r="N214" s="256"/>
      <c r="O214" s="388"/>
      <c r="P214" s="185">
        <f t="shared" ref="P214" si="223">IF(F212="",0,1)</f>
        <v>0</v>
      </c>
      <c r="R214" s="185" t="str">
        <f t="shared" ref="R214" si="224">E214</f>
        <v/>
      </c>
      <c r="S214" s="185" t="str">
        <f t="shared" ref="S214" si="225">E215</f>
        <v/>
      </c>
      <c r="T214" s="185" t="str">
        <f t="shared" ref="T214" si="226">E216</f>
        <v/>
      </c>
      <c r="U214" s="185" t="str">
        <f t="shared" ref="U214" si="227">E217</f>
        <v/>
      </c>
      <c r="V214" s="185" t="str">
        <f t="shared" ref="V214" si="228">E218</f>
        <v/>
      </c>
      <c r="W214" s="185" t="str">
        <f t="shared" ref="W214" si="229">E219</f>
        <v/>
      </c>
      <c r="X214" s="185" t="str">
        <f t="shared" ref="X214" si="230">E220</f>
        <v/>
      </c>
      <c r="AA214" s="50"/>
      <c r="AD214" s="244"/>
      <c r="AE214" s="355" t="str">
        <f>IF(OR(AM214="",AM214=0,AJ214="",AG214=""),"",
(IF(AND(AF212=$P$4,AM214&lt;=$R$4),$V$4,0)+IF(AND(AF212=$P$5,AM214&lt;=$R$5),$V$5,0)+IF(AND(AF212=$P$6,AM214&lt;=$R$6),$V$6,0)+IF(AND(AF212=$P$7,AM214&lt;=$R$7),$V$7,0))
)</f>
        <v/>
      </c>
      <c r="AF214" s="153" t="s">
        <v>302</v>
      </c>
      <c r="AG214" s="598"/>
      <c r="AH214" s="599"/>
      <c r="AI214" s="600"/>
      <c r="AJ214" s="598"/>
      <c r="AK214" s="599"/>
      <c r="AL214" s="600"/>
      <c r="AM214" s="384"/>
      <c r="AN214" s="256"/>
      <c r="AO214" s="388"/>
      <c r="AP214" s="185">
        <f t="shared" ref="AP214" si="231">IF(AF212="",0,1)</f>
        <v>0</v>
      </c>
      <c r="AR214" s="185" t="str">
        <f t="shared" ref="AR214" si="232">AE214</f>
        <v/>
      </c>
      <c r="AS214" s="185" t="str">
        <f t="shared" ref="AS214" si="233">AE215</f>
        <v/>
      </c>
      <c r="AT214" s="185" t="str">
        <f t="shared" ref="AT214" si="234">AE216</f>
        <v/>
      </c>
      <c r="AU214" s="185" t="str">
        <f t="shared" ref="AU214" si="235">AE217</f>
        <v/>
      </c>
      <c r="AV214" s="185" t="str">
        <f t="shared" ref="AV214" si="236">AE218</f>
        <v/>
      </c>
      <c r="AW214" s="185" t="str">
        <f t="shared" ref="AW214" si="237">AE219</f>
        <v/>
      </c>
      <c r="AX214" s="185" t="str">
        <f t="shared" ref="AX214" si="238">AE220</f>
        <v/>
      </c>
    </row>
    <row r="215" spans="4:50" ht="15" customHeight="1" x14ac:dyDescent="0.3">
      <c r="D215" s="244"/>
      <c r="E215" s="341" t="str">
        <f>IF(OR(M215="",M215=0,J215="",G215=""),"",
(IF(AND(F212=$P$4,M215&lt;=$R$4),$V$4,0)+IF(AND(F212=$P$5,M215&lt;=$R$5),$V$5,0)+IF(AND(F212=$P$6,M215&lt;=$R$6),$V$6,0)+IF(AND(F212=$P$7,M215&lt;=$R$7),$V$7,0))
)</f>
        <v/>
      </c>
      <c r="F215" s="153" t="s">
        <v>303</v>
      </c>
      <c r="G215" s="616"/>
      <c r="H215" s="617"/>
      <c r="I215" s="618"/>
      <c r="J215" s="616"/>
      <c r="K215" s="617"/>
      <c r="L215" s="618"/>
      <c r="M215" s="255"/>
      <c r="N215" s="256"/>
      <c r="O215" s="388"/>
      <c r="AA215" s="50"/>
      <c r="AD215" s="244"/>
      <c r="AE215" s="341" t="str">
        <f>IF(OR(AM215="",AM215=0,AJ215="",AG215=""),"",
(IF(AND(AF212=$P$4,AM215&lt;=$R$4),$V$4,0)+IF(AND(AF212=$P$5,AM215&lt;=$R$5),$V$5,0)+IF(AND(AF212=$P$6,AM215&lt;=$R$6),$V$6,0)+IF(AND(AF212=$P$7,AM215&lt;=$R$7),$V$7,0))
)</f>
        <v/>
      </c>
      <c r="AF215" s="153" t="s">
        <v>303</v>
      </c>
      <c r="AG215" s="598"/>
      <c r="AH215" s="599"/>
      <c r="AI215" s="600"/>
      <c r="AJ215" s="598"/>
      <c r="AK215" s="599"/>
      <c r="AL215" s="600"/>
      <c r="AM215" s="384"/>
      <c r="AN215" s="256"/>
      <c r="AO215" s="388"/>
    </row>
    <row r="216" spans="4:50" ht="15" customHeight="1" x14ac:dyDescent="0.3">
      <c r="D216" s="244"/>
      <c r="E216" s="341" t="str">
        <f>IF(OR(M216="",M216=0,J216="",G216=""),"",
(IF(AND(F212=$P$4,M216&lt;=$R$4),$V$4,0)+IF(AND(F212=$P$5,M216&lt;=$R$5),$V$5,0)+IF(AND(F212=$P$6,M216&lt;=$R$6),$V$6,0)+IF(AND(F212=$P$7,M216&lt;=$R$7),$V$7,0))
)</f>
        <v/>
      </c>
      <c r="F216" s="153" t="s">
        <v>304</v>
      </c>
      <c r="G216" s="616"/>
      <c r="H216" s="617"/>
      <c r="I216" s="618"/>
      <c r="J216" s="616"/>
      <c r="K216" s="617"/>
      <c r="L216" s="618"/>
      <c r="M216" s="255"/>
      <c r="N216" s="256"/>
      <c r="O216" s="388"/>
      <c r="AA216" s="50"/>
      <c r="AD216" s="244"/>
      <c r="AE216" s="341" t="str">
        <f>IF(OR(AM216="",AM216=0,AJ216="",AG216=""),"",
(IF(AND(AF212=$P$4,AM216&lt;=$R$4),$V$4,0)+IF(AND(AF212=$P$5,AM216&lt;=$R$5),$V$5,0)+IF(AND(AF212=$P$6,AM216&lt;=$R$6),$V$6,0)+IF(AND(AF212=$P$7,AM216&lt;=$R$7),$V$7,0))
)</f>
        <v/>
      </c>
      <c r="AF216" s="153" t="s">
        <v>304</v>
      </c>
      <c r="AG216" s="598"/>
      <c r="AH216" s="599"/>
      <c r="AI216" s="600"/>
      <c r="AJ216" s="598"/>
      <c r="AK216" s="599"/>
      <c r="AL216" s="600"/>
      <c r="AM216" s="384"/>
      <c r="AN216" s="256"/>
      <c r="AO216" s="388"/>
    </row>
    <row r="217" spans="4:50" ht="15" customHeight="1" x14ac:dyDescent="0.3">
      <c r="D217" s="244"/>
      <c r="E217" s="341" t="str">
        <f>IF(OR(M217="",M217=0,J217="",G217=""),"",
(IF(AND(F212=$P$4,M217&lt;=$R$4),$V$4,0)+IF(AND(F212=$P$5,M217&lt;=$R$5),$V$5,0)+IF(AND(F212=$P$6,M217&lt;=$R$6),$V$6,0)+IF(AND(F212=$P$7,M217&lt;=$R$7),$V$7,0))
)</f>
        <v/>
      </c>
      <c r="F217" s="153" t="s">
        <v>305</v>
      </c>
      <c r="G217" s="616"/>
      <c r="H217" s="617"/>
      <c r="I217" s="618"/>
      <c r="J217" s="616"/>
      <c r="K217" s="617"/>
      <c r="L217" s="618"/>
      <c r="M217" s="255"/>
      <c r="N217" s="256"/>
      <c r="O217" s="388"/>
      <c r="AA217" s="50"/>
      <c r="AD217" s="244"/>
      <c r="AE217" s="341" t="str">
        <f>IF(OR(AM217="",AM217=0,AJ217="",AG217=""),"",
(IF(AND(AF212=$P$4,AM217&lt;=$R$4),$V$4,0)+IF(AND(AF212=$P$5,AM217&lt;=$R$5),$V$5,0)+IF(AND(AF212=$P$6,AM217&lt;=$R$6),$V$6,0)+IF(AND(AF212=$P$7,AM217&lt;=$R$7),$V$7,0))
)</f>
        <v/>
      </c>
      <c r="AF217" s="153" t="s">
        <v>305</v>
      </c>
      <c r="AG217" s="598"/>
      <c r="AH217" s="599"/>
      <c r="AI217" s="600"/>
      <c r="AJ217" s="598"/>
      <c r="AK217" s="599"/>
      <c r="AL217" s="600"/>
      <c r="AM217" s="384"/>
      <c r="AN217" s="256"/>
      <c r="AO217" s="388"/>
    </row>
    <row r="218" spans="4:50" ht="15" customHeight="1" x14ac:dyDescent="0.3">
      <c r="D218" s="244"/>
      <c r="E218" s="341" t="str">
        <f>IF(OR(M218="",M218=0,J218="",G218=""),"",
(IF(AND(F212=$P$4,M218&lt;=$R$4),$V$4,0)+IF(AND(F212=$P$5,M218&lt;=$R$5),$V$5,0)+IF(AND(F212=$P$6,M218&lt;=$R$6),$V$6,0)+IF(AND(F212=$P$7,M218&lt;=$R$7),$V$7,0))
)</f>
        <v/>
      </c>
      <c r="F218" s="153" t="s">
        <v>306</v>
      </c>
      <c r="G218" s="616"/>
      <c r="H218" s="617"/>
      <c r="I218" s="618"/>
      <c r="J218" s="616"/>
      <c r="K218" s="617"/>
      <c r="L218" s="618"/>
      <c r="M218" s="255"/>
      <c r="N218" s="256"/>
      <c r="O218" s="388"/>
      <c r="AA218" s="50"/>
      <c r="AD218" s="244"/>
      <c r="AE218" s="341" t="str">
        <f>IF(OR(AM218="",AM218=0,AJ218="",AG218=""),"",
(IF(AND(AF212=$P$4,AM218&lt;=$R$4),$V$4,0)+IF(AND(AF212=$P$5,AM218&lt;=$R$5),$V$5,0)+IF(AND(AF212=$P$6,AM218&lt;=$R$6),$V$6,0)+IF(AND(AF212=$P$7,AM218&lt;=$R$7),$V$7,0))
)</f>
        <v/>
      </c>
      <c r="AF218" s="153" t="s">
        <v>306</v>
      </c>
      <c r="AG218" s="598"/>
      <c r="AH218" s="599"/>
      <c r="AI218" s="600"/>
      <c r="AJ218" s="598"/>
      <c r="AK218" s="599"/>
      <c r="AL218" s="600"/>
      <c r="AM218" s="384"/>
      <c r="AN218" s="256"/>
      <c r="AO218" s="388"/>
    </row>
    <row r="219" spans="4:50" ht="15" customHeight="1" x14ac:dyDescent="0.3">
      <c r="D219" s="244"/>
      <c r="E219" s="341" t="str">
        <f>IF(OR(M219="",M219=0,J219="",G219=""),"",
(IF(AND(F212=$P$4,M219&lt;=$R$4),$V$4,0)+IF(AND(F212=$P$5,M219&lt;=$R$5),$V$5,0)+IF(AND(F212=$P$6,M219&lt;=$R$6),$V$6,0)+IF(AND(F212=$P$7,M219&lt;=$R$7),$V$7,0))
)</f>
        <v/>
      </c>
      <c r="F219" s="153" t="s">
        <v>307</v>
      </c>
      <c r="G219" s="616"/>
      <c r="H219" s="617"/>
      <c r="I219" s="618"/>
      <c r="J219" s="616"/>
      <c r="K219" s="617"/>
      <c r="L219" s="618"/>
      <c r="M219" s="255"/>
      <c r="N219" s="256"/>
      <c r="O219" s="388"/>
      <c r="AA219" s="50"/>
      <c r="AD219" s="244"/>
      <c r="AE219" s="341" t="str">
        <f>IF(OR(AM219="",AM219=0,AJ219="",AG219=""),"",
(IF(AND(AF212=$P$4,AM219&lt;=$R$4),$V$4,0)+IF(AND(AF212=$P$5,AM219&lt;=$R$5),$V$5,0)+IF(AND(AF212=$P$6,AM219&lt;=$R$6),$V$6,0)+IF(AND(AF212=$P$7,AM219&lt;=$R$7),$V$7,0))
)</f>
        <v/>
      </c>
      <c r="AF219" s="153" t="s">
        <v>307</v>
      </c>
      <c r="AG219" s="598"/>
      <c r="AH219" s="599"/>
      <c r="AI219" s="600"/>
      <c r="AJ219" s="598"/>
      <c r="AK219" s="599"/>
      <c r="AL219" s="600"/>
      <c r="AM219" s="384"/>
      <c r="AN219" s="256"/>
      <c r="AO219" s="388"/>
    </row>
    <row r="220" spans="4:50" x14ac:dyDescent="0.3">
      <c r="D220" s="244"/>
      <c r="E220" s="341" t="str">
        <f>IF(OR(M220="",M220=0,J220="",G220=""),"",
(IF(AND(F212=$P$4,M220&lt;=$R$4),$V$4,0)+IF(AND(F212=$P$5,M220&lt;=$R$5),$V$5,0)+IF(AND(F212=$P$6,M220&lt;=$R$6),$V$6,0)+IF(AND(F212=$P$7,M220&lt;=$R$7),$V$7,0))
)</f>
        <v/>
      </c>
      <c r="F220" s="153" t="s">
        <v>308</v>
      </c>
      <c r="G220" s="616"/>
      <c r="H220" s="617"/>
      <c r="I220" s="618"/>
      <c r="J220" s="616"/>
      <c r="K220" s="617"/>
      <c r="L220" s="618"/>
      <c r="M220" s="255"/>
      <c r="N220" s="256"/>
      <c r="O220" s="388"/>
      <c r="AA220" s="50"/>
      <c r="AD220" s="244"/>
      <c r="AE220" s="341" t="str">
        <f>IF(OR(AM220="",AM220=0,AJ220="",AG220=""),"",
(IF(AND(AF212=$P$4,AM220&lt;=$R$4),$V$4,0)+IF(AND(AF212=$P$5,AM220&lt;=$R$5),$V$5,0)+IF(AND(AF212=$P$6,AM220&lt;=$R$6),$V$6,0)+IF(AND(AF212=$P$7,AM220&lt;=$R$7),$V$7,0))
)</f>
        <v/>
      </c>
      <c r="AF220" s="153" t="s">
        <v>308</v>
      </c>
      <c r="AG220" s="598"/>
      <c r="AH220" s="599"/>
      <c r="AI220" s="600"/>
      <c r="AJ220" s="598"/>
      <c r="AK220" s="599"/>
      <c r="AL220" s="600"/>
      <c r="AM220" s="384"/>
      <c r="AN220" s="256"/>
      <c r="AO220" s="388"/>
    </row>
    <row r="221" spans="4:50" ht="16.2" thickBot="1" x14ac:dyDescent="0.35">
      <c r="D221" s="203"/>
      <c r="E221" s="3"/>
      <c r="F221" s="3"/>
      <c r="G221" s="3"/>
      <c r="H221" s="3"/>
      <c r="I221" s="3"/>
      <c r="J221" s="3"/>
      <c r="K221" s="3"/>
      <c r="L221" s="3"/>
      <c r="M221" s="3"/>
      <c r="N221" s="204"/>
      <c r="P221" s="2"/>
      <c r="AA221" s="50"/>
      <c r="AD221" s="203"/>
      <c r="AE221" s="3"/>
      <c r="AF221" s="3"/>
      <c r="AG221" s="3"/>
      <c r="AH221" s="3"/>
      <c r="AI221" s="3"/>
      <c r="AJ221" s="3"/>
      <c r="AK221" s="3"/>
      <c r="AL221" s="3"/>
      <c r="AM221" s="3"/>
      <c r="AN221" s="204"/>
      <c r="AP221" s="2"/>
    </row>
    <row r="222" spans="4:50" x14ac:dyDescent="0.3">
      <c r="D222" s="601" t="str">
        <f>IF(
OR(
OR(F224=$P$4,F224=$P$5,F224=$P$6,F224=$P$7),AND(G226="",G227="",G228="",G229="",G230="",G231="",G232="",J226="",J227="",J228="",J229="",J230="",J231="",J232="",M226="",M227="",M228="",M229="",M230="",M231="",M232="",K223="",K224="")
),
"",
"A Set-Aside must be selected."
)</f>
        <v/>
      </c>
      <c r="E222" s="602"/>
      <c r="F222" s="602"/>
      <c r="G222" s="602"/>
      <c r="H222" s="602"/>
      <c r="I222" s="602"/>
      <c r="J222" s="602"/>
      <c r="K222" s="602"/>
      <c r="L222" s="602"/>
      <c r="M222" s="602"/>
      <c r="N222" s="603"/>
      <c r="O222" s="2"/>
      <c r="AA222" s="50"/>
      <c r="AD222" s="601" t="str">
        <f>IF(
OR(
OR(AF224=$P$4,AF224=$P$5,AF224=$P$6,AF224=$P$7),AND(AG226="",AG227="",AG228="",AG229="",AG230="",AG231="",AG232="",AJ226="",AJ227="",AJ228="",AJ229="",AJ230="",AJ231="",AJ232="",AM226="",AM227="",AM228="",AM229="",AM230="",AM231="",AM232="",AK223="",AK224="")
),
"",
"A Set-Aside must be selected."
)</f>
        <v/>
      </c>
      <c r="AE222" s="602"/>
      <c r="AF222" s="602"/>
      <c r="AG222" s="602"/>
      <c r="AH222" s="602"/>
      <c r="AI222" s="602"/>
      <c r="AJ222" s="602"/>
      <c r="AK222" s="602"/>
      <c r="AL222" s="602"/>
      <c r="AM222" s="602"/>
      <c r="AN222" s="603"/>
      <c r="AO222" s="2"/>
    </row>
    <row r="223" spans="4:50" ht="15.75" customHeight="1" x14ac:dyDescent="0.3">
      <c r="D223" s="199"/>
      <c r="E223" s="9" t="s">
        <v>30</v>
      </c>
      <c r="F223" s="86">
        <f>F211+1</f>
        <v>16</v>
      </c>
      <c r="G223" s="9" t="s">
        <v>175</v>
      </c>
      <c r="H223" s="9"/>
      <c r="I223" s="9"/>
      <c r="J223" s="168" t="s">
        <v>111</v>
      </c>
      <c r="K223" s="148"/>
      <c r="N223" s="200"/>
      <c r="R223" s="596" t="s">
        <v>302</v>
      </c>
      <c r="S223" s="596" t="s">
        <v>303</v>
      </c>
      <c r="T223" s="596" t="s">
        <v>304</v>
      </c>
      <c r="U223" s="596" t="s">
        <v>305</v>
      </c>
      <c r="V223" s="596" t="s">
        <v>306</v>
      </c>
      <c r="W223" s="596" t="s">
        <v>307</v>
      </c>
      <c r="X223" s="596" t="s">
        <v>308</v>
      </c>
      <c r="AA223" s="50"/>
      <c r="AD223" s="199"/>
      <c r="AE223" s="9" t="s">
        <v>30</v>
      </c>
      <c r="AF223" s="86">
        <f>AF211+1</f>
        <v>16</v>
      </c>
      <c r="AG223" s="9" t="s">
        <v>175</v>
      </c>
      <c r="AH223" s="9"/>
      <c r="AI223" s="9"/>
      <c r="AJ223" s="168" t="s">
        <v>111</v>
      </c>
      <c r="AK223" s="382"/>
      <c r="AN223" s="200"/>
      <c r="AR223" s="596" t="s">
        <v>302</v>
      </c>
      <c r="AS223" s="596" t="s">
        <v>303</v>
      </c>
      <c r="AT223" s="596" t="s">
        <v>304</v>
      </c>
      <c r="AU223" s="596" t="s">
        <v>305</v>
      </c>
      <c r="AV223" s="596" t="s">
        <v>306</v>
      </c>
      <c r="AW223" s="596" t="s">
        <v>307</v>
      </c>
      <c r="AX223" s="596" t="s">
        <v>308</v>
      </c>
    </row>
    <row r="224" spans="4:50" x14ac:dyDescent="0.3">
      <c r="D224" s="604" t="s">
        <v>31</v>
      </c>
      <c r="E224" s="594"/>
      <c r="F224" s="151"/>
      <c r="G224" s="86" t="str">
        <f>IF(F224=$P$4,$Q$4,IF(F224=$P$5,$Q$5,IF(F224=$P$6,$Q$6,IF(F224=$P$7,Q$7,IF(F224=$P$8,"","")))))</f>
        <v/>
      </c>
      <c r="H224" s="201"/>
      <c r="I224" s="201"/>
      <c r="J224" s="168" t="s">
        <v>112</v>
      </c>
      <c r="K224" s="148"/>
      <c r="N224" s="200"/>
      <c r="R224" s="596"/>
      <c r="S224" s="596"/>
      <c r="T224" s="596"/>
      <c r="U224" s="596"/>
      <c r="V224" s="596"/>
      <c r="W224" s="596"/>
      <c r="X224" s="596"/>
      <c r="AA224" s="50"/>
      <c r="AD224" s="604" t="s">
        <v>31</v>
      </c>
      <c r="AE224" s="594"/>
      <c r="AF224" s="383"/>
      <c r="AG224" s="86" t="str">
        <f>IF(AF224=$P$4,$Q$4,IF(AF224=$P$5,$Q$5,IF(AF224=$P$6,$Q$6,IF(AF224=$P$7,AQ$7,IF(AF224=$P$8,"","")))))</f>
        <v/>
      </c>
      <c r="AH224" s="201"/>
      <c r="AI224" s="201"/>
      <c r="AJ224" s="168" t="s">
        <v>112</v>
      </c>
      <c r="AK224" s="382"/>
      <c r="AN224" s="200"/>
      <c r="AR224" s="596"/>
      <c r="AS224" s="596"/>
      <c r="AT224" s="596"/>
      <c r="AU224" s="596"/>
      <c r="AV224" s="596"/>
      <c r="AW224" s="596"/>
      <c r="AX224" s="596"/>
    </row>
    <row r="225" spans="4:50" ht="15" customHeight="1" x14ac:dyDescent="0.3">
      <c r="D225" s="244"/>
      <c r="E225" s="230" t="s">
        <v>52</v>
      </c>
      <c r="F225" s="9" t="s">
        <v>32</v>
      </c>
      <c r="G225" s="9" t="s">
        <v>33</v>
      </c>
      <c r="H225" s="9"/>
      <c r="I225" s="9"/>
      <c r="J225" s="9" t="s">
        <v>34</v>
      </c>
      <c r="K225" s="9"/>
      <c r="L225" s="9"/>
      <c r="M225" s="257" t="s">
        <v>35</v>
      </c>
      <c r="N225" s="202"/>
      <c r="O225" s="9"/>
      <c r="P225" s="198" t="s">
        <v>22</v>
      </c>
      <c r="Q225" s="198"/>
      <c r="R225" s="596"/>
      <c r="S225" s="596"/>
      <c r="T225" s="596"/>
      <c r="U225" s="596"/>
      <c r="V225" s="596"/>
      <c r="W225" s="596"/>
      <c r="X225" s="596"/>
      <c r="AA225" s="50"/>
      <c r="AD225" s="244"/>
      <c r="AE225" s="230" t="s">
        <v>52</v>
      </c>
      <c r="AF225" s="9" t="s">
        <v>32</v>
      </c>
      <c r="AG225" s="9" t="s">
        <v>33</v>
      </c>
      <c r="AH225" s="9"/>
      <c r="AI225" s="9"/>
      <c r="AJ225" s="9" t="s">
        <v>34</v>
      </c>
      <c r="AK225" s="9"/>
      <c r="AL225" s="9"/>
      <c r="AM225" s="257" t="s">
        <v>35</v>
      </c>
      <c r="AN225" s="202"/>
      <c r="AO225" s="9"/>
      <c r="AP225" s="198" t="s">
        <v>22</v>
      </c>
      <c r="AQ225" s="198"/>
      <c r="AR225" s="596"/>
      <c r="AS225" s="596"/>
      <c r="AT225" s="596"/>
      <c r="AU225" s="596"/>
      <c r="AV225" s="596"/>
      <c r="AW225" s="596"/>
      <c r="AX225" s="596"/>
    </row>
    <row r="226" spans="4:50" ht="15" customHeight="1" x14ac:dyDescent="0.3">
      <c r="D226" s="244"/>
      <c r="E226" s="355" t="str">
        <f>IF(OR(M226="",M226=0,J226="",G226=""),"",
(IF(AND(F224=$P$4,M226&lt;=$R$4),$V$4,0)+IF(AND(F224=$P$5,M226&lt;=$R$5),$V$5,0)+IF(AND(F224=$P$6,M226&lt;=$R$6),$V$6,0)+IF(AND(F224=$P$7,M226&lt;=$R$7),$V$7,0))
)</f>
        <v/>
      </c>
      <c r="F226" s="153" t="s">
        <v>302</v>
      </c>
      <c r="G226" s="616"/>
      <c r="H226" s="617"/>
      <c r="I226" s="618"/>
      <c r="J226" s="616"/>
      <c r="K226" s="617"/>
      <c r="L226" s="618"/>
      <c r="M226" s="255"/>
      <c r="N226" s="256"/>
      <c r="O226" s="388"/>
      <c r="P226" s="185">
        <f t="shared" ref="P226" si="239">IF(F224="",0,1)</f>
        <v>0</v>
      </c>
      <c r="R226" s="185" t="str">
        <f t="shared" ref="R226" si="240">E226</f>
        <v/>
      </c>
      <c r="S226" s="185" t="str">
        <f t="shared" ref="S226" si="241">E227</f>
        <v/>
      </c>
      <c r="T226" s="185" t="str">
        <f t="shared" ref="T226" si="242">E228</f>
        <v/>
      </c>
      <c r="U226" s="185" t="str">
        <f t="shared" ref="U226" si="243">E229</f>
        <v/>
      </c>
      <c r="V226" s="185" t="str">
        <f t="shared" ref="V226" si="244">E230</f>
        <v/>
      </c>
      <c r="W226" s="185" t="str">
        <f t="shared" ref="W226" si="245">E231</f>
        <v/>
      </c>
      <c r="X226" s="185" t="str">
        <f t="shared" ref="X226" si="246">E232</f>
        <v/>
      </c>
      <c r="AA226" s="50"/>
      <c r="AD226" s="244"/>
      <c r="AE226" s="355" t="str">
        <f>IF(OR(AM226="",AM226=0,AJ226="",AG226=""),"",
(IF(AND(AF224=$P$4,AM226&lt;=$R$4),$V$4,0)+IF(AND(AF224=$P$5,AM226&lt;=$R$5),$V$5,0)+IF(AND(AF224=$P$6,AM226&lt;=$R$6),$V$6,0)+IF(AND(AF224=$P$7,AM226&lt;=$R$7),$V$7,0))
)</f>
        <v/>
      </c>
      <c r="AF226" s="153" t="s">
        <v>302</v>
      </c>
      <c r="AG226" s="598"/>
      <c r="AH226" s="599"/>
      <c r="AI226" s="600"/>
      <c r="AJ226" s="598"/>
      <c r="AK226" s="599"/>
      <c r="AL226" s="600"/>
      <c r="AM226" s="384"/>
      <c r="AN226" s="256"/>
      <c r="AO226" s="388"/>
      <c r="AP226" s="185">
        <f t="shared" ref="AP226" si="247">IF(AF224="",0,1)</f>
        <v>0</v>
      </c>
      <c r="AR226" s="185" t="str">
        <f t="shared" ref="AR226" si="248">AE226</f>
        <v/>
      </c>
      <c r="AS226" s="185" t="str">
        <f t="shared" ref="AS226" si="249">AE227</f>
        <v/>
      </c>
      <c r="AT226" s="185" t="str">
        <f t="shared" ref="AT226" si="250">AE228</f>
        <v/>
      </c>
      <c r="AU226" s="185" t="str">
        <f t="shared" ref="AU226" si="251">AE229</f>
        <v/>
      </c>
      <c r="AV226" s="185" t="str">
        <f t="shared" ref="AV226" si="252">AE230</f>
        <v/>
      </c>
      <c r="AW226" s="185" t="str">
        <f t="shared" ref="AW226" si="253">AE231</f>
        <v/>
      </c>
      <c r="AX226" s="185" t="str">
        <f t="shared" ref="AX226" si="254">AE232</f>
        <v/>
      </c>
    </row>
    <row r="227" spans="4:50" ht="15" customHeight="1" x14ac:dyDescent="0.3">
      <c r="D227" s="244"/>
      <c r="E227" s="341" t="str">
        <f>IF(OR(M227="",M227=0,J227="",G227=""),"",
(IF(AND(F224=$P$4,M227&lt;=$R$4),$V$4,0)+IF(AND(F224=$P$5,M227&lt;=$R$5),$V$5,0)+IF(AND(F224=$P$6,M227&lt;=$R$6),$V$6,0)+IF(AND(F224=$P$7,M227&lt;=$R$7),$V$7,0))
)</f>
        <v/>
      </c>
      <c r="F227" s="153" t="s">
        <v>303</v>
      </c>
      <c r="G227" s="616"/>
      <c r="H227" s="617"/>
      <c r="I227" s="618"/>
      <c r="J227" s="616"/>
      <c r="K227" s="617"/>
      <c r="L227" s="618"/>
      <c r="M227" s="255"/>
      <c r="N227" s="256"/>
      <c r="O227" s="388"/>
      <c r="AA227" s="50"/>
      <c r="AD227" s="244"/>
      <c r="AE227" s="341" t="str">
        <f>IF(OR(AM227="",AM227=0,AJ227="",AG227=""),"",
(IF(AND(AF224=$P$4,AM227&lt;=$R$4),$V$4,0)+IF(AND(AF224=$P$5,AM227&lt;=$R$5),$V$5,0)+IF(AND(AF224=$P$6,AM227&lt;=$R$6),$V$6,0)+IF(AND(AF224=$P$7,AM227&lt;=$R$7),$V$7,0))
)</f>
        <v/>
      </c>
      <c r="AF227" s="153" t="s">
        <v>303</v>
      </c>
      <c r="AG227" s="598"/>
      <c r="AH227" s="599"/>
      <c r="AI227" s="600"/>
      <c r="AJ227" s="598"/>
      <c r="AK227" s="599"/>
      <c r="AL227" s="600"/>
      <c r="AM227" s="384"/>
      <c r="AN227" s="256"/>
      <c r="AO227" s="388"/>
    </row>
    <row r="228" spans="4:50" ht="15" customHeight="1" x14ac:dyDescent="0.3">
      <c r="D228" s="244"/>
      <c r="E228" s="341" t="str">
        <f>IF(OR(M228="",M228=0,J228="",G228=""),"",
(IF(AND(F224=$P$4,M228&lt;=$R$4),$V$4,0)+IF(AND(F224=$P$5,M228&lt;=$R$5),$V$5,0)+IF(AND(F224=$P$6,M228&lt;=$R$6),$V$6,0)+IF(AND(F224=$P$7,M228&lt;=$R$7),$V$7,0))
)</f>
        <v/>
      </c>
      <c r="F228" s="153" t="s">
        <v>304</v>
      </c>
      <c r="G228" s="616"/>
      <c r="H228" s="617"/>
      <c r="I228" s="618"/>
      <c r="J228" s="616"/>
      <c r="K228" s="617"/>
      <c r="L228" s="618"/>
      <c r="M228" s="255"/>
      <c r="N228" s="256"/>
      <c r="O228" s="388"/>
      <c r="AA228" s="50"/>
      <c r="AD228" s="244"/>
      <c r="AE228" s="341" t="str">
        <f>IF(OR(AM228="",AM228=0,AJ228="",AG228=""),"",
(IF(AND(AF224=$P$4,AM228&lt;=$R$4),$V$4,0)+IF(AND(AF224=$P$5,AM228&lt;=$R$5),$V$5,0)+IF(AND(AF224=$P$6,AM228&lt;=$R$6),$V$6,0)+IF(AND(AF224=$P$7,AM228&lt;=$R$7),$V$7,0))
)</f>
        <v/>
      </c>
      <c r="AF228" s="153" t="s">
        <v>304</v>
      </c>
      <c r="AG228" s="598"/>
      <c r="AH228" s="599"/>
      <c r="AI228" s="600"/>
      <c r="AJ228" s="598"/>
      <c r="AK228" s="599"/>
      <c r="AL228" s="600"/>
      <c r="AM228" s="384"/>
      <c r="AN228" s="256"/>
      <c r="AO228" s="388"/>
    </row>
    <row r="229" spans="4:50" ht="15" customHeight="1" x14ac:dyDescent="0.3">
      <c r="D229" s="244"/>
      <c r="E229" s="341" t="str">
        <f>IF(OR(M229="",M229=0,J229="",G229=""),"",
(IF(AND(F224=$P$4,M229&lt;=$R$4),$V$4,0)+IF(AND(F224=$P$5,M229&lt;=$R$5),$V$5,0)+IF(AND(F224=$P$6,M229&lt;=$R$6),$V$6,0)+IF(AND(F224=$P$7,M229&lt;=$R$7),$V$7,0))
)</f>
        <v/>
      </c>
      <c r="F229" s="153" t="s">
        <v>305</v>
      </c>
      <c r="G229" s="616"/>
      <c r="H229" s="617"/>
      <c r="I229" s="618"/>
      <c r="J229" s="616"/>
      <c r="K229" s="617"/>
      <c r="L229" s="618"/>
      <c r="M229" s="255"/>
      <c r="N229" s="256"/>
      <c r="O229" s="388"/>
      <c r="AA229" s="50"/>
      <c r="AD229" s="244"/>
      <c r="AE229" s="341" t="str">
        <f>IF(OR(AM229="",AM229=0,AJ229="",AG229=""),"",
(IF(AND(AF224=$P$4,AM229&lt;=$R$4),$V$4,0)+IF(AND(AF224=$P$5,AM229&lt;=$R$5),$V$5,0)+IF(AND(AF224=$P$6,AM229&lt;=$R$6),$V$6,0)+IF(AND(AF224=$P$7,AM229&lt;=$R$7),$V$7,0))
)</f>
        <v/>
      </c>
      <c r="AF229" s="153" t="s">
        <v>305</v>
      </c>
      <c r="AG229" s="598"/>
      <c r="AH229" s="599"/>
      <c r="AI229" s="600"/>
      <c r="AJ229" s="598"/>
      <c r="AK229" s="599"/>
      <c r="AL229" s="600"/>
      <c r="AM229" s="384"/>
      <c r="AN229" s="256"/>
      <c r="AO229" s="388"/>
    </row>
    <row r="230" spans="4:50" x14ac:dyDescent="0.3">
      <c r="D230" s="244"/>
      <c r="E230" s="341" t="str">
        <f>IF(OR(M230="",M230=0,J230="",G230=""),"",
(IF(AND(F224=$P$4,M230&lt;=$R$4),$V$4,0)+IF(AND(F224=$P$5,M230&lt;=$R$5),$V$5,0)+IF(AND(F224=$P$6,M230&lt;=$R$6),$V$6,0)+IF(AND(F224=$P$7,M230&lt;=$R$7),$V$7,0))
)</f>
        <v/>
      </c>
      <c r="F230" s="153" t="s">
        <v>306</v>
      </c>
      <c r="G230" s="616"/>
      <c r="H230" s="617"/>
      <c r="I230" s="618"/>
      <c r="J230" s="616"/>
      <c r="K230" s="617"/>
      <c r="L230" s="618"/>
      <c r="M230" s="255"/>
      <c r="N230" s="256"/>
      <c r="O230" s="388"/>
      <c r="AA230" s="50"/>
      <c r="AD230" s="244"/>
      <c r="AE230" s="341" t="str">
        <f>IF(OR(AM230="",AM230=0,AJ230="",AG230=""),"",
(IF(AND(AF224=$P$4,AM230&lt;=$R$4),$V$4,0)+IF(AND(AF224=$P$5,AM230&lt;=$R$5),$V$5,0)+IF(AND(AF224=$P$6,AM230&lt;=$R$6),$V$6,0)+IF(AND(AF224=$P$7,AM230&lt;=$R$7),$V$7,0))
)</f>
        <v/>
      </c>
      <c r="AF230" s="153" t="s">
        <v>306</v>
      </c>
      <c r="AG230" s="598"/>
      <c r="AH230" s="599"/>
      <c r="AI230" s="600"/>
      <c r="AJ230" s="598"/>
      <c r="AK230" s="599"/>
      <c r="AL230" s="600"/>
      <c r="AM230" s="384"/>
      <c r="AN230" s="256"/>
      <c r="AO230" s="388"/>
    </row>
    <row r="231" spans="4:50" x14ac:dyDescent="0.3">
      <c r="D231" s="244"/>
      <c r="E231" s="341" t="str">
        <f>IF(OR(M231="",M231=0,J231="",G231=""),"",
(IF(AND(F224=$P$4,M231&lt;=$R$4),$V$4,0)+IF(AND(F224=$P$5,M231&lt;=$R$5),$V$5,0)+IF(AND(F224=$P$6,M231&lt;=$R$6),$V$6,0)+IF(AND(F224=$P$7,M231&lt;=$R$7),$V$7,0))
)</f>
        <v/>
      </c>
      <c r="F231" s="153" t="s">
        <v>307</v>
      </c>
      <c r="G231" s="616"/>
      <c r="H231" s="617"/>
      <c r="I231" s="618"/>
      <c r="J231" s="616"/>
      <c r="K231" s="617"/>
      <c r="L231" s="618"/>
      <c r="M231" s="255"/>
      <c r="N231" s="256"/>
      <c r="O231" s="388"/>
      <c r="AA231" s="50"/>
      <c r="AD231" s="244"/>
      <c r="AE231" s="341" t="str">
        <f>IF(OR(AM231="",AM231=0,AJ231="",AG231=""),"",
(IF(AND(AF224=$P$4,AM231&lt;=$R$4),$V$4,0)+IF(AND(AF224=$P$5,AM231&lt;=$R$5),$V$5,0)+IF(AND(AF224=$P$6,AM231&lt;=$R$6),$V$6,0)+IF(AND(AF224=$P$7,AM231&lt;=$R$7),$V$7,0))
)</f>
        <v/>
      </c>
      <c r="AF231" s="153" t="s">
        <v>307</v>
      </c>
      <c r="AG231" s="598"/>
      <c r="AH231" s="599"/>
      <c r="AI231" s="600"/>
      <c r="AJ231" s="598"/>
      <c r="AK231" s="599"/>
      <c r="AL231" s="600"/>
      <c r="AM231" s="384"/>
      <c r="AN231" s="256"/>
      <c r="AO231" s="388"/>
    </row>
    <row r="232" spans="4:50" x14ac:dyDescent="0.3">
      <c r="D232" s="244"/>
      <c r="E232" s="341" t="str">
        <f>IF(OR(M232="",M232=0,J232="",G232=""),"",
(IF(AND(F224=$P$4,M232&lt;=$R$4),$V$4,0)+IF(AND(F224=$P$5,M232&lt;=$R$5),$V$5,0)+IF(AND(F224=$P$6,M232&lt;=$R$6),$V$6,0)+IF(AND(F224=$P$7,M232&lt;=$R$7),$V$7,0))
)</f>
        <v/>
      </c>
      <c r="F232" s="153" t="s">
        <v>308</v>
      </c>
      <c r="G232" s="616"/>
      <c r="H232" s="617"/>
      <c r="I232" s="618"/>
      <c r="J232" s="616"/>
      <c r="K232" s="617"/>
      <c r="L232" s="618"/>
      <c r="M232" s="255"/>
      <c r="N232" s="256"/>
      <c r="O232" s="388"/>
      <c r="AA232" s="50"/>
      <c r="AD232" s="244"/>
      <c r="AE232" s="341" t="str">
        <f>IF(OR(AM232="",AM232=0,AJ232="",AG232=""),"",
(IF(AND(AF224=$P$4,AM232&lt;=$R$4),$V$4,0)+IF(AND(AF224=$P$5,AM232&lt;=$R$5),$V$5,0)+IF(AND(AF224=$P$6,AM232&lt;=$R$6),$V$6,0)+IF(AND(AF224=$P$7,AM232&lt;=$R$7),$V$7,0))
)</f>
        <v/>
      </c>
      <c r="AF232" s="153" t="s">
        <v>308</v>
      </c>
      <c r="AG232" s="598"/>
      <c r="AH232" s="599"/>
      <c r="AI232" s="600"/>
      <c r="AJ232" s="598"/>
      <c r="AK232" s="599"/>
      <c r="AL232" s="600"/>
      <c r="AM232" s="384"/>
      <c r="AN232" s="256"/>
      <c r="AO232" s="388"/>
    </row>
    <row r="233" spans="4:50" ht="16.2" thickBot="1" x14ac:dyDescent="0.35">
      <c r="D233" s="203"/>
      <c r="E233" s="3"/>
      <c r="F233" s="3"/>
      <c r="G233" s="3"/>
      <c r="H233" s="3"/>
      <c r="I233" s="3"/>
      <c r="J233" s="3"/>
      <c r="K233" s="3"/>
      <c r="L233" s="3"/>
      <c r="M233" s="3"/>
      <c r="N233" s="204"/>
      <c r="P233" s="2"/>
      <c r="AA233" s="50"/>
      <c r="AD233" s="203"/>
      <c r="AE233" s="3"/>
      <c r="AF233" s="3"/>
      <c r="AG233" s="3"/>
      <c r="AH233" s="3"/>
      <c r="AI233" s="3"/>
      <c r="AJ233" s="3"/>
      <c r="AK233" s="3"/>
      <c r="AL233" s="3"/>
      <c r="AM233" s="3"/>
      <c r="AN233" s="204"/>
      <c r="AP233" s="2"/>
    </row>
    <row r="234" spans="4:50" x14ac:dyDescent="0.3">
      <c r="D234" s="601" t="str">
        <f>IF(
OR(
OR(F236=$P$4,F236=$P$5,F236=$P$6,F236=$P$7),AND(G238="",G239="",G240="",G241="",G242="",G243="",G244="",J238="",J239="",J240="",J241="",J242="",J243="",J244="",M238="",M239="",M240="",M241="",M242="",M243="",M244="",K235="",K236="")
),
"",
"A Set-Aside must be selected."
)</f>
        <v/>
      </c>
      <c r="E234" s="602"/>
      <c r="F234" s="602"/>
      <c r="G234" s="602"/>
      <c r="H234" s="602"/>
      <c r="I234" s="602"/>
      <c r="J234" s="602"/>
      <c r="K234" s="602"/>
      <c r="L234" s="602"/>
      <c r="M234" s="602"/>
      <c r="N234" s="603"/>
      <c r="O234" s="2"/>
      <c r="AA234" s="50"/>
      <c r="AD234" s="601" t="str">
        <f>IF(
OR(
OR(AF236=$P$4,AF236=$P$5,AF236=$P$6,AF236=$P$7),AND(AG238="",AG239="",AG240="",AG241="",AG242="",AG243="",AG244="",AJ238="",AJ239="",AJ240="",AJ241="",AJ242="",AJ243="",AJ244="",AM238="",AM239="",AM240="",AM241="",AM242="",AM243="",AM244="",AK235="",AK236="")
),
"",
"A Set-Aside must be selected."
)</f>
        <v/>
      </c>
      <c r="AE234" s="602"/>
      <c r="AF234" s="602"/>
      <c r="AG234" s="602"/>
      <c r="AH234" s="602"/>
      <c r="AI234" s="602"/>
      <c r="AJ234" s="602"/>
      <c r="AK234" s="602"/>
      <c r="AL234" s="602"/>
      <c r="AM234" s="602"/>
      <c r="AN234" s="603"/>
      <c r="AO234" s="2"/>
    </row>
    <row r="235" spans="4:50" ht="15" customHeight="1" x14ac:dyDescent="0.3">
      <c r="D235" s="199"/>
      <c r="E235" s="9" t="s">
        <v>30</v>
      </c>
      <c r="F235" s="86">
        <f>F223+1</f>
        <v>17</v>
      </c>
      <c r="G235" s="9" t="s">
        <v>175</v>
      </c>
      <c r="H235" s="9"/>
      <c r="I235" s="9"/>
      <c r="J235" s="168" t="s">
        <v>111</v>
      </c>
      <c r="K235" s="148"/>
      <c r="N235" s="200"/>
      <c r="R235" s="596" t="s">
        <v>302</v>
      </c>
      <c r="S235" s="596" t="s">
        <v>303</v>
      </c>
      <c r="T235" s="596" t="s">
        <v>304</v>
      </c>
      <c r="U235" s="596" t="s">
        <v>305</v>
      </c>
      <c r="V235" s="596" t="s">
        <v>306</v>
      </c>
      <c r="W235" s="596" t="s">
        <v>307</v>
      </c>
      <c r="X235" s="596" t="s">
        <v>308</v>
      </c>
      <c r="AA235" s="50"/>
      <c r="AD235" s="199"/>
      <c r="AE235" s="9" t="s">
        <v>30</v>
      </c>
      <c r="AF235" s="86">
        <f>AF223+1</f>
        <v>17</v>
      </c>
      <c r="AG235" s="9" t="s">
        <v>175</v>
      </c>
      <c r="AH235" s="9"/>
      <c r="AI235" s="9"/>
      <c r="AJ235" s="168" t="s">
        <v>111</v>
      </c>
      <c r="AK235" s="382"/>
      <c r="AN235" s="200"/>
      <c r="AR235" s="596" t="s">
        <v>302</v>
      </c>
      <c r="AS235" s="596" t="s">
        <v>303</v>
      </c>
      <c r="AT235" s="596" t="s">
        <v>304</v>
      </c>
      <c r="AU235" s="596" t="s">
        <v>305</v>
      </c>
      <c r="AV235" s="596" t="s">
        <v>306</v>
      </c>
      <c r="AW235" s="596" t="s">
        <v>307</v>
      </c>
      <c r="AX235" s="596" t="s">
        <v>308</v>
      </c>
    </row>
    <row r="236" spans="4:50" ht="15" customHeight="1" x14ac:dyDescent="0.3">
      <c r="D236" s="604" t="s">
        <v>31</v>
      </c>
      <c r="E236" s="594"/>
      <c r="F236" s="151"/>
      <c r="G236" s="86" t="str">
        <f>IF(F236=$P$4,$Q$4,IF(F236=$P$5,$Q$5,IF(F236=$P$6,$Q$6,IF(F236=$P$7,Q$7,IF(F236=$P$8,"","")))))</f>
        <v/>
      </c>
      <c r="H236" s="201"/>
      <c r="I236" s="201"/>
      <c r="J236" s="168" t="s">
        <v>112</v>
      </c>
      <c r="K236" s="148"/>
      <c r="N236" s="200"/>
      <c r="R236" s="596"/>
      <c r="S236" s="596"/>
      <c r="T236" s="596"/>
      <c r="U236" s="596"/>
      <c r="V236" s="596"/>
      <c r="W236" s="596"/>
      <c r="X236" s="596"/>
      <c r="AA236" s="50"/>
      <c r="AD236" s="604" t="s">
        <v>31</v>
      </c>
      <c r="AE236" s="594"/>
      <c r="AF236" s="383"/>
      <c r="AG236" s="86" t="str">
        <f>IF(AF236=$P$4,$Q$4,IF(AF236=$P$5,$Q$5,IF(AF236=$P$6,$Q$6,IF(AF236=$P$7,AQ$7,IF(AF236=$P$8,"","")))))</f>
        <v/>
      </c>
      <c r="AH236" s="201"/>
      <c r="AI236" s="201"/>
      <c r="AJ236" s="168" t="s">
        <v>112</v>
      </c>
      <c r="AK236" s="382"/>
      <c r="AN236" s="200"/>
      <c r="AR236" s="596"/>
      <c r="AS236" s="596"/>
      <c r="AT236" s="596"/>
      <c r="AU236" s="596"/>
      <c r="AV236" s="596"/>
      <c r="AW236" s="596"/>
      <c r="AX236" s="596"/>
    </row>
    <row r="237" spans="4:50" ht="15" customHeight="1" x14ac:dyDescent="0.3">
      <c r="D237" s="244"/>
      <c r="E237" s="230" t="s">
        <v>52</v>
      </c>
      <c r="F237" s="9" t="s">
        <v>32</v>
      </c>
      <c r="G237" s="9" t="s">
        <v>33</v>
      </c>
      <c r="H237" s="9"/>
      <c r="I237" s="9"/>
      <c r="J237" s="9" t="s">
        <v>34</v>
      </c>
      <c r="K237" s="9"/>
      <c r="L237" s="9"/>
      <c r="M237" s="257" t="s">
        <v>35</v>
      </c>
      <c r="N237" s="202"/>
      <c r="O237" s="9"/>
      <c r="P237" s="198" t="s">
        <v>22</v>
      </c>
      <c r="Q237" s="198"/>
      <c r="R237" s="596"/>
      <c r="S237" s="596"/>
      <c r="T237" s="596"/>
      <c r="U237" s="596"/>
      <c r="V237" s="596"/>
      <c r="W237" s="596"/>
      <c r="X237" s="596"/>
      <c r="AA237" s="50"/>
      <c r="AD237" s="244"/>
      <c r="AE237" s="230" t="s">
        <v>52</v>
      </c>
      <c r="AF237" s="9" t="s">
        <v>32</v>
      </c>
      <c r="AG237" s="9" t="s">
        <v>33</v>
      </c>
      <c r="AH237" s="9"/>
      <c r="AI237" s="9"/>
      <c r="AJ237" s="9" t="s">
        <v>34</v>
      </c>
      <c r="AK237" s="9"/>
      <c r="AL237" s="9"/>
      <c r="AM237" s="257" t="s">
        <v>35</v>
      </c>
      <c r="AN237" s="202"/>
      <c r="AO237" s="9"/>
      <c r="AP237" s="198" t="s">
        <v>22</v>
      </c>
      <c r="AQ237" s="198"/>
      <c r="AR237" s="596"/>
      <c r="AS237" s="596"/>
      <c r="AT237" s="596"/>
      <c r="AU237" s="596"/>
      <c r="AV237" s="596"/>
      <c r="AW237" s="596"/>
      <c r="AX237" s="596"/>
    </row>
    <row r="238" spans="4:50" ht="15" customHeight="1" x14ac:dyDescent="0.3">
      <c r="D238" s="244"/>
      <c r="E238" s="355" t="str">
        <f>IF(OR(M238="",M238=0,J238="",G238=""),"",
(IF(AND(F236=$P$4,M238&lt;=$R$4),$V$4,0)+IF(AND(F236=$P$5,M238&lt;=$R$5),$V$5,0)+IF(AND(F236=$P$6,M238&lt;=$R$6),$V$6,0)+IF(AND(F236=$P$7,M238&lt;=$R$7),$V$7,0))
)</f>
        <v/>
      </c>
      <c r="F238" s="153" t="s">
        <v>302</v>
      </c>
      <c r="G238" s="616"/>
      <c r="H238" s="617"/>
      <c r="I238" s="618"/>
      <c r="J238" s="616"/>
      <c r="K238" s="617"/>
      <c r="L238" s="618"/>
      <c r="M238" s="255"/>
      <c r="N238" s="256"/>
      <c r="O238" s="388"/>
      <c r="P238" s="185">
        <f t="shared" ref="P238" si="255">IF(F236="",0,1)</f>
        <v>0</v>
      </c>
      <c r="R238" s="185" t="str">
        <f t="shared" ref="R238" si="256">E238</f>
        <v/>
      </c>
      <c r="S238" s="185" t="str">
        <f t="shared" ref="S238" si="257">E239</f>
        <v/>
      </c>
      <c r="T238" s="185" t="str">
        <f t="shared" ref="T238" si="258">E240</f>
        <v/>
      </c>
      <c r="U238" s="185" t="str">
        <f t="shared" ref="U238" si="259">E241</f>
        <v/>
      </c>
      <c r="V238" s="185" t="str">
        <f t="shared" ref="V238" si="260">E242</f>
        <v/>
      </c>
      <c r="W238" s="185" t="str">
        <f t="shared" ref="W238" si="261">E243</f>
        <v/>
      </c>
      <c r="X238" s="185" t="str">
        <f t="shared" ref="X238" si="262">E244</f>
        <v/>
      </c>
      <c r="AA238" s="50"/>
      <c r="AD238" s="244"/>
      <c r="AE238" s="355" t="str">
        <f>IF(OR(AM238="",AM238=0,AJ238="",AG238=""),"",
(IF(AND(AF236=$P$4,AM238&lt;=$R$4),$V$4,0)+IF(AND(AF236=$P$5,AM238&lt;=$R$5),$V$5,0)+IF(AND(AF236=$P$6,AM238&lt;=$R$6),$V$6,0)+IF(AND(AF236=$P$7,AM238&lt;=$R$7),$V$7,0))
)</f>
        <v/>
      </c>
      <c r="AF238" s="153" t="s">
        <v>302</v>
      </c>
      <c r="AG238" s="598"/>
      <c r="AH238" s="599"/>
      <c r="AI238" s="600"/>
      <c r="AJ238" s="598"/>
      <c r="AK238" s="599"/>
      <c r="AL238" s="600"/>
      <c r="AM238" s="384"/>
      <c r="AN238" s="256"/>
      <c r="AO238" s="388"/>
      <c r="AP238" s="185">
        <f t="shared" ref="AP238" si="263">IF(AF236="",0,1)</f>
        <v>0</v>
      </c>
      <c r="AR238" s="185" t="str">
        <f t="shared" ref="AR238" si="264">AE238</f>
        <v/>
      </c>
      <c r="AS238" s="185" t="str">
        <f t="shared" ref="AS238" si="265">AE239</f>
        <v/>
      </c>
      <c r="AT238" s="185" t="str">
        <f t="shared" ref="AT238" si="266">AE240</f>
        <v/>
      </c>
      <c r="AU238" s="185" t="str">
        <f t="shared" ref="AU238" si="267">AE241</f>
        <v/>
      </c>
      <c r="AV238" s="185" t="str">
        <f t="shared" ref="AV238" si="268">AE242</f>
        <v/>
      </c>
      <c r="AW238" s="185" t="str">
        <f t="shared" ref="AW238" si="269">AE243</f>
        <v/>
      </c>
      <c r="AX238" s="185" t="str">
        <f t="shared" ref="AX238" si="270">AE244</f>
        <v/>
      </c>
    </row>
    <row r="239" spans="4:50" ht="15" customHeight="1" x14ac:dyDescent="0.3">
      <c r="D239" s="244"/>
      <c r="E239" s="341" t="str">
        <f>IF(OR(M239="",M239=0,J239="",G239=""),"",
(IF(AND(F236=$P$4,M239&lt;=$R$4),$V$4,0)+IF(AND(F236=$P$5,M239&lt;=$R$5),$V$5,0)+IF(AND(F236=$P$6,M239&lt;=$R$6),$V$6,0)+IF(AND(F236=$P$7,M239&lt;=$R$7),$V$7,0))
)</f>
        <v/>
      </c>
      <c r="F239" s="153" t="s">
        <v>303</v>
      </c>
      <c r="G239" s="616"/>
      <c r="H239" s="617"/>
      <c r="I239" s="618"/>
      <c r="J239" s="616"/>
      <c r="K239" s="617"/>
      <c r="L239" s="618"/>
      <c r="M239" s="255"/>
      <c r="N239" s="256"/>
      <c r="O239" s="388"/>
      <c r="AA239" s="50"/>
      <c r="AD239" s="244"/>
      <c r="AE239" s="341" t="str">
        <f>IF(OR(AM239="",AM239=0,AJ239="",AG239=""),"",
(IF(AND(AF236=$P$4,AM239&lt;=$R$4),$V$4,0)+IF(AND(AF236=$P$5,AM239&lt;=$R$5),$V$5,0)+IF(AND(AF236=$P$6,AM239&lt;=$R$6),$V$6,0)+IF(AND(AF236=$P$7,AM239&lt;=$R$7),$V$7,0))
)</f>
        <v/>
      </c>
      <c r="AF239" s="153" t="s">
        <v>303</v>
      </c>
      <c r="AG239" s="598"/>
      <c r="AH239" s="599"/>
      <c r="AI239" s="600"/>
      <c r="AJ239" s="598"/>
      <c r="AK239" s="599"/>
      <c r="AL239" s="600"/>
      <c r="AM239" s="384"/>
      <c r="AN239" s="256"/>
      <c r="AO239" s="388"/>
    </row>
    <row r="240" spans="4:50" x14ac:dyDescent="0.3">
      <c r="D240" s="244"/>
      <c r="E240" s="341" t="str">
        <f>IF(OR(M240="",M240=0,J240="",G240=""),"",
(IF(AND(F236=$P$4,M240&lt;=$R$4),$V$4,0)+IF(AND(F236=$P$5,M240&lt;=$R$5),$V$5,0)+IF(AND(F236=$P$6,M240&lt;=$R$6),$V$6,0)+IF(AND(F236=$P$7,M240&lt;=$R$7),$V$7,0))
)</f>
        <v/>
      </c>
      <c r="F240" s="153" t="s">
        <v>304</v>
      </c>
      <c r="G240" s="616"/>
      <c r="H240" s="617"/>
      <c r="I240" s="618"/>
      <c r="J240" s="616"/>
      <c r="K240" s="617"/>
      <c r="L240" s="618"/>
      <c r="M240" s="255"/>
      <c r="N240" s="256"/>
      <c r="O240" s="388"/>
      <c r="AA240" s="50"/>
      <c r="AD240" s="244"/>
      <c r="AE240" s="341" t="str">
        <f>IF(OR(AM240="",AM240=0,AJ240="",AG240=""),"",
(IF(AND(AF236=$P$4,AM240&lt;=$R$4),$V$4,0)+IF(AND(AF236=$P$5,AM240&lt;=$R$5),$V$5,0)+IF(AND(AF236=$P$6,AM240&lt;=$R$6),$V$6,0)+IF(AND(AF236=$P$7,AM240&lt;=$R$7),$V$7,0))
)</f>
        <v/>
      </c>
      <c r="AF240" s="153" t="s">
        <v>304</v>
      </c>
      <c r="AG240" s="598"/>
      <c r="AH240" s="599"/>
      <c r="AI240" s="600"/>
      <c r="AJ240" s="598"/>
      <c r="AK240" s="599"/>
      <c r="AL240" s="600"/>
      <c r="AM240" s="384"/>
      <c r="AN240" s="256"/>
      <c r="AO240" s="388"/>
    </row>
    <row r="241" spans="4:50" x14ac:dyDescent="0.3">
      <c r="D241" s="244"/>
      <c r="E241" s="341" t="str">
        <f>IF(OR(M241="",M241=0,J241="",G241=""),"",
(IF(AND(F236=$P$4,M241&lt;=$R$4),$V$4,0)+IF(AND(F236=$P$5,M241&lt;=$R$5),$V$5,0)+IF(AND(F236=$P$6,M241&lt;=$R$6),$V$6,0)+IF(AND(F236=$P$7,M241&lt;=$R$7),$V$7,0))
)</f>
        <v/>
      </c>
      <c r="F241" s="153" t="s">
        <v>305</v>
      </c>
      <c r="G241" s="616"/>
      <c r="H241" s="617"/>
      <c r="I241" s="618"/>
      <c r="J241" s="616"/>
      <c r="K241" s="617"/>
      <c r="L241" s="618"/>
      <c r="M241" s="255"/>
      <c r="N241" s="256"/>
      <c r="O241" s="388"/>
      <c r="AA241" s="50"/>
      <c r="AD241" s="244"/>
      <c r="AE241" s="341" t="str">
        <f>IF(OR(AM241="",AM241=0,AJ241="",AG241=""),"",
(IF(AND(AF236=$P$4,AM241&lt;=$R$4),$V$4,0)+IF(AND(AF236=$P$5,AM241&lt;=$R$5),$V$5,0)+IF(AND(AF236=$P$6,AM241&lt;=$R$6),$V$6,0)+IF(AND(AF236=$P$7,AM241&lt;=$R$7),$V$7,0))
)</f>
        <v/>
      </c>
      <c r="AF241" s="153" t="s">
        <v>305</v>
      </c>
      <c r="AG241" s="598"/>
      <c r="AH241" s="599"/>
      <c r="AI241" s="600"/>
      <c r="AJ241" s="598"/>
      <c r="AK241" s="599"/>
      <c r="AL241" s="600"/>
      <c r="AM241" s="384"/>
      <c r="AN241" s="256"/>
      <c r="AO241" s="388"/>
    </row>
    <row r="242" spans="4:50" x14ac:dyDescent="0.3">
      <c r="D242" s="244"/>
      <c r="E242" s="341" t="str">
        <f>IF(OR(M242="",M242=0,J242="",G242=""),"",
(IF(AND(F236=$P$4,M242&lt;=$R$4),$V$4,0)+IF(AND(F236=$P$5,M242&lt;=$R$5),$V$5,0)+IF(AND(F236=$P$6,M242&lt;=$R$6),$V$6,0)+IF(AND(F236=$P$7,M242&lt;=$R$7),$V$7,0))
)</f>
        <v/>
      </c>
      <c r="F242" s="153" t="s">
        <v>306</v>
      </c>
      <c r="G242" s="616"/>
      <c r="H242" s="617"/>
      <c r="I242" s="618"/>
      <c r="J242" s="616"/>
      <c r="K242" s="617"/>
      <c r="L242" s="618"/>
      <c r="M242" s="255"/>
      <c r="N242" s="256"/>
      <c r="O242" s="388"/>
      <c r="AA242" s="50"/>
      <c r="AD242" s="244"/>
      <c r="AE242" s="341" t="str">
        <f>IF(OR(AM242="",AM242=0,AJ242="",AG242=""),"",
(IF(AND(AF236=$P$4,AM242&lt;=$R$4),$V$4,0)+IF(AND(AF236=$P$5,AM242&lt;=$R$5),$V$5,0)+IF(AND(AF236=$P$6,AM242&lt;=$R$6),$V$6,0)+IF(AND(AF236=$P$7,AM242&lt;=$R$7),$V$7,0))
)</f>
        <v/>
      </c>
      <c r="AF242" s="153" t="s">
        <v>306</v>
      </c>
      <c r="AG242" s="598"/>
      <c r="AH242" s="599"/>
      <c r="AI242" s="600"/>
      <c r="AJ242" s="598"/>
      <c r="AK242" s="599"/>
      <c r="AL242" s="600"/>
      <c r="AM242" s="384"/>
      <c r="AN242" s="256"/>
      <c r="AO242" s="388"/>
    </row>
    <row r="243" spans="4:50" x14ac:dyDescent="0.3">
      <c r="D243" s="244"/>
      <c r="E243" s="341" t="str">
        <f>IF(OR(M243="",M243=0,J243="",G243=""),"",
(IF(AND(F236=$P$4,M243&lt;=$R$4),$V$4,0)+IF(AND(F236=$P$5,M243&lt;=$R$5),$V$5,0)+IF(AND(F236=$P$6,M243&lt;=$R$6),$V$6,0)+IF(AND(F236=$P$7,M243&lt;=$R$7),$V$7,0))
)</f>
        <v/>
      </c>
      <c r="F243" s="153" t="s">
        <v>307</v>
      </c>
      <c r="G243" s="616"/>
      <c r="H243" s="617"/>
      <c r="I243" s="618"/>
      <c r="J243" s="616"/>
      <c r="K243" s="617"/>
      <c r="L243" s="618"/>
      <c r="M243" s="255"/>
      <c r="N243" s="256"/>
      <c r="O243" s="388"/>
      <c r="AA243" s="50"/>
      <c r="AD243" s="244"/>
      <c r="AE243" s="341" t="str">
        <f>IF(OR(AM243="",AM243=0,AJ243="",AG243=""),"",
(IF(AND(AF236=$P$4,AM243&lt;=$R$4),$V$4,0)+IF(AND(AF236=$P$5,AM243&lt;=$R$5),$V$5,0)+IF(AND(AF236=$P$6,AM243&lt;=$R$6),$V$6,0)+IF(AND(AF236=$P$7,AM243&lt;=$R$7),$V$7,0))
)</f>
        <v/>
      </c>
      <c r="AF243" s="153" t="s">
        <v>307</v>
      </c>
      <c r="AG243" s="598"/>
      <c r="AH243" s="599"/>
      <c r="AI243" s="600"/>
      <c r="AJ243" s="598"/>
      <c r="AK243" s="599"/>
      <c r="AL243" s="600"/>
      <c r="AM243" s="384"/>
      <c r="AN243" s="256"/>
      <c r="AO243" s="388"/>
    </row>
    <row r="244" spans="4:50" x14ac:dyDescent="0.3">
      <c r="D244" s="244"/>
      <c r="E244" s="341" t="str">
        <f>IF(OR(M244="",M244=0,J244="",G244=""),"",
(IF(AND(F236=$P$4,M244&lt;=$R$4),$V$4,0)+IF(AND(F236=$P$5,M244&lt;=$R$5),$V$5,0)+IF(AND(F236=$P$6,M244&lt;=$R$6),$V$6,0)+IF(AND(F236=$P$7,M244&lt;=$R$7),$V$7,0))
)</f>
        <v/>
      </c>
      <c r="F244" s="153" t="s">
        <v>308</v>
      </c>
      <c r="G244" s="616"/>
      <c r="H244" s="617"/>
      <c r="I244" s="618"/>
      <c r="J244" s="616"/>
      <c r="K244" s="617"/>
      <c r="L244" s="618"/>
      <c r="M244" s="255"/>
      <c r="N244" s="256"/>
      <c r="O244" s="388"/>
      <c r="AA244" s="50"/>
      <c r="AD244" s="244"/>
      <c r="AE244" s="341" t="str">
        <f>IF(OR(AM244="",AM244=0,AJ244="",AG244=""),"",
(IF(AND(AF236=$P$4,AM244&lt;=$R$4),$V$4,0)+IF(AND(AF236=$P$5,AM244&lt;=$R$5),$V$5,0)+IF(AND(AF236=$P$6,AM244&lt;=$R$6),$V$6,0)+IF(AND(AF236=$P$7,AM244&lt;=$R$7),$V$7,0))
)</f>
        <v/>
      </c>
      <c r="AF244" s="153" t="s">
        <v>308</v>
      </c>
      <c r="AG244" s="598"/>
      <c r="AH244" s="599"/>
      <c r="AI244" s="600"/>
      <c r="AJ244" s="598"/>
      <c r="AK244" s="599"/>
      <c r="AL244" s="600"/>
      <c r="AM244" s="384"/>
      <c r="AN244" s="256"/>
      <c r="AO244" s="388"/>
    </row>
    <row r="245" spans="4:50" ht="15" customHeight="1" thickBot="1" x14ac:dyDescent="0.35">
      <c r="D245" s="203"/>
      <c r="E245" s="3"/>
      <c r="F245" s="3"/>
      <c r="G245" s="3"/>
      <c r="H245" s="3"/>
      <c r="I245" s="3"/>
      <c r="J245" s="3"/>
      <c r="K245" s="3"/>
      <c r="L245" s="3"/>
      <c r="M245" s="3"/>
      <c r="N245" s="204"/>
      <c r="P245" s="2"/>
      <c r="AA245" s="50"/>
      <c r="AD245" s="203"/>
      <c r="AE245" s="3"/>
      <c r="AF245" s="3"/>
      <c r="AG245" s="3"/>
      <c r="AH245" s="3"/>
      <c r="AI245" s="3"/>
      <c r="AJ245" s="3"/>
      <c r="AK245" s="3"/>
      <c r="AL245" s="3"/>
      <c r="AM245" s="3"/>
      <c r="AN245" s="204"/>
      <c r="AP245" s="2"/>
    </row>
    <row r="246" spans="4:50" ht="15" customHeight="1" x14ac:dyDescent="0.3">
      <c r="D246" s="601" t="str">
        <f>IF(
OR(
OR(F248=$P$4,F248=$P$5,F248=$P$6,F248=$P$7),AND(G250="",G251="",G252="",G253="",G254="",G255="",G256="",J250="",J251="",J252="",J253="",J254="",J255="",J256="",M250="",M251="",M252="",M253="",M254="",M255="",M256="",K247="",K248="")
),
"",
"A Set-Aside must be selected."
)</f>
        <v/>
      </c>
      <c r="E246" s="602"/>
      <c r="F246" s="602"/>
      <c r="G246" s="602"/>
      <c r="H246" s="602"/>
      <c r="I246" s="602"/>
      <c r="J246" s="602"/>
      <c r="K246" s="602"/>
      <c r="L246" s="602"/>
      <c r="M246" s="602"/>
      <c r="N246" s="603"/>
      <c r="O246" s="2"/>
      <c r="AA246" s="50"/>
      <c r="AD246" s="601" t="str">
        <f>IF(
OR(
OR(AF248=$P$4,AF248=$P$5,AF248=$P$6,AF248=$P$7),AND(AG250="",AG251="",AG252="",AG253="",AG254="",AG255="",AG256="",AJ250="",AJ251="",AJ252="",AJ253="",AJ254="",AJ255="",AJ256="",AM250="",AM251="",AM252="",AM253="",AM254="",AM255="",AM256="",AK247="",AK248="")
),
"",
"A Set-Aside must be selected."
)</f>
        <v/>
      </c>
      <c r="AE246" s="602"/>
      <c r="AF246" s="602"/>
      <c r="AG246" s="602"/>
      <c r="AH246" s="602"/>
      <c r="AI246" s="602"/>
      <c r="AJ246" s="602"/>
      <c r="AK246" s="602"/>
      <c r="AL246" s="602"/>
      <c r="AM246" s="602"/>
      <c r="AN246" s="603"/>
      <c r="AO246" s="2"/>
    </row>
    <row r="247" spans="4:50" ht="15" customHeight="1" x14ac:dyDescent="0.3">
      <c r="D247" s="199"/>
      <c r="E247" s="9" t="s">
        <v>30</v>
      </c>
      <c r="F247" s="86">
        <f>F235+1</f>
        <v>18</v>
      </c>
      <c r="G247" s="9" t="s">
        <v>175</v>
      </c>
      <c r="H247" s="9"/>
      <c r="I247" s="9"/>
      <c r="J247" s="168" t="s">
        <v>111</v>
      </c>
      <c r="K247" s="148"/>
      <c r="N247" s="200"/>
      <c r="R247" s="596" t="s">
        <v>302</v>
      </c>
      <c r="S247" s="596" t="s">
        <v>303</v>
      </c>
      <c r="T247" s="596" t="s">
        <v>304</v>
      </c>
      <c r="U247" s="596" t="s">
        <v>305</v>
      </c>
      <c r="V247" s="596" t="s">
        <v>306</v>
      </c>
      <c r="W247" s="596" t="s">
        <v>307</v>
      </c>
      <c r="X247" s="596" t="s">
        <v>308</v>
      </c>
      <c r="AA247" s="50"/>
      <c r="AD247" s="199"/>
      <c r="AE247" s="9" t="s">
        <v>30</v>
      </c>
      <c r="AF247" s="86">
        <f>AF235+1</f>
        <v>18</v>
      </c>
      <c r="AG247" s="9" t="s">
        <v>175</v>
      </c>
      <c r="AH247" s="9"/>
      <c r="AI247" s="9"/>
      <c r="AJ247" s="168" t="s">
        <v>111</v>
      </c>
      <c r="AK247" s="382"/>
      <c r="AN247" s="200"/>
      <c r="AR247" s="596" t="s">
        <v>302</v>
      </c>
      <c r="AS247" s="596" t="s">
        <v>303</v>
      </c>
      <c r="AT247" s="596" t="s">
        <v>304</v>
      </c>
      <c r="AU247" s="596" t="s">
        <v>305</v>
      </c>
      <c r="AV247" s="596" t="s">
        <v>306</v>
      </c>
      <c r="AW247" s="596" t="s">
        <v>307</v>
      </c>
      <c r="AX247" s="596" t="s">
        <v>308</v>
      </c>
    </row>
    <row r="248" spans="4:50" ht="15" customHeight="1" x14ac:dyDescent="0.3">
      <c r="D248" s="604" t="s">
        <v>31</v>
      </c>
      <c r="E248" s="594"/>
      <c r="F248" s="151"/>
      <c r="G248" s="86" t="str">
        <f>IF(F248=$P$4,$Q$4,IF(F248=$P$5,$Q$5,IF(F248=$P$6,$Q$6,IF(F248=$P$7,Q$7,IF(F248=$P$8,"","")))))</f>
        <v/>
      </c>
      <c r="H248" s="201"/>
      <c r="I248" s="201"/>
      <c r="J248" s="168" t="s">
        <v>112</v>
      </c>
      <c r="K248" s="148"/>
      <c r="N248" s="200"/>
      <c r="R248" s="596"/>
      <c r="S248" s="596"/>
      <c r="T248" s="596"/>
      <c r="U248" s="596"/>
      <c r="V248" s="596"/>
      <c r="W248" s="596"/>
      <c r="X248" s="596"/>
      <c r="AA248" s="50"/>
      <c r="AD248" s="604" t="s">
        <v>31</v>
      </c>
      <c r="AE248" s="594"/>
      <c r="AF248" s="383"/>
      <c r="AG248" s="86" t="str">
        <f>IF(AF248=$P$4,$Q$4,IF(AF248=$P$5,$Q$5,IF(AF248=$P$6,$Q$6,IF(AF248=$P$7,AQ$7,IF(AF248=$P$8,"","")))))</f>
        <v/>
      </c>
      <c r="AH248" s="201"/>
      <c r="AI248" s="201"/>
      <c r="AJ248" s="168" t="s">
        <v>112</v>
      </c>
      <c r="AK248" s="382"/>
      <c r="AN248" s="200"/>
      <c r="AR248" s="596"/>
      <c r="AS248" s="596"/>
      <c r="AT248" s="596"/>
      <c r="AU248" s="596"/>
      <c r="AV248" s="596"/>
      <c r="AW248" s="596"/>
      <c r="AX248" s="596"/>
    </row>
    <row r="249" spans="4:50" ht="15" customHeight="1" x14ac:dyDescent="0.3">
      <c r="D249" s="244"/>
      <c r="E249" s="230" t="s">
        <v>52</v>
      </c>
      <c r="F249" s="9" t="s">
        <v>32</v>
      </c>
      <c r="G249" s="9" t="s">
        <v>33</v>
      </c>
      <c r="H249" s="9"/>
      <c r="I249" s="9"/>
      <c r="J249" s="9" t="s">
        <v>34</v>
      </c>
      <c r="K249" s="9"/>
      <c r="L249" s="9"/>
      <c r="M249" s="257" t="s">
        <v>35</v>
      </c>
      <c r="N249" s="202"/>
      <c r="O249" s="9"/>
      <c r="P249" s="198" t="s">
        <v>22</v>
      </c>
      <c r="Q249" s="198"/>
      <c r="R249" s="596"/>
      <c r="S249" s="596"/>
      <c r="T249" s="596"/>
      <c r="U249" s="596"/>
      <c r="V249" s="596"/>
      <c r="W249" s="596"/>
      <c r="X249" s="596"/>
      <c r="AA249" s="50"/>
      <c r="AD249" s="244"/>
      <c r="AE249" s="230" t="s">
        <v>52</v>
      </c>
      <c r="AF249" s="9" t="s">
        <v>32</v>
      </c>
      <c r="AG249" s="9" t="s">
        <v>33</v>
      </c>
      <c r="AH249" s="9"/>
      <c r="AI249" s="9"/>
      <c r="AJ249" s="9" t="s">
        <v>34</v>
      </c>
      <c r="AK249" s="9"/>
      <c r="AL249" s="9"/>
      <c r="AM249" s="257" t="s">
        <v>35</v>
      </c>
      <c r="AN249" s="202"/>
      <c r="AO249" s="9"/>
      <c r="AP249" s="198" t="s">
        <v>22</v>
      </c>
      <c r="AQ249" s="198"/>
      <c r="AR249" s="596"/>
      <c r="AS249" s="596"/>
      <c r="AT249" s="596"/>
      <c r="AU249" s="596"/>
      <c r="AV249" s="596"/>
      <c r="AW249" s="596"/>
      <c r="AX249" s="596"/>
    </row>
    <row r="250" spans="4:50" x14ac:dyDescent="0.3">
      <c r="D250" s="244"/>
      <c r="E250" s="355" t="str">
        <f>IF(OR(M250="",M250=0,J250="",G250=""),"",
(IF(AND(F248=$P$4,M250&lt;=$R$4),$V$4,0)+IF(AND(F248=$P$5,M250&lt;=$R$5),$V$5,0)+IF(AND(F248=$P$6,M250&lt;=$R$6),$V$6,0)+IF(AND(F248=$P$7,M250&lt;=$R$7),$V$7,0))
)</f>
        <v/>
      </c>
      <c r="F250" s="153" t="s">
        <v>302</v>
      </c>
      <c r="G250" s="619"/>
      <c r="H250" s="617"/>
      <c r="I250" s="618"/>
      <c r="J250" s="616"/>
      <c r="K250" s="617"/>
      <c r="L250" s="618"/>
      <c r="M250" s="255"/>
      <c r="N250" s="256"/>
      <c r="O250" s="388"/>
      <c r="P250" s="185">
        <f t="shared" ref="P250" si="271">IF(F248="",0,1)</f>
        <v>0</v>
      </c>
      <c r="R250" s="185" t="str">
        <f t="shared" ref="R250" si="272">E250</f>
        <v/>
      </c>
      <c r="S250" s="185" t="str">
        <f t="shared" ref="S250" si="273">E251</f>
        <v/>
      </c>
      <c r="T250" s="185" t="str">
        <f t="shared" ref="T250" si="274">E252</f>
        <v/>
      </c>
      <c r="U250" s="185" t="str">
        <f t="shared" ref="U250" si="275">E253</f>
        <v/>
      </c>
      <c r="V250" s="185" t="str">
        <f t="shared" ref="V250" si="276">E254</f>
        <v/>
      </c>
      <c r="W250" s="185" t="str">
        <f t="shared" ref="W250" si="277">E255</f>
        <v/>
      </c>
      <c r="X250" s="185" t="str">
        <f t="shared" ref="X250" si="278">E256</f>
        <v/>
      </c>
      <c r="AA250" s="50"/>
      <c r="AD250" s="244"/>
      <c r="AE250" s="355" t="str">
        <f>IF(OR(AM250="",AM250=0,AJ250="",AG250=""),"",
(IF(AND(AF248=$P$4,AM250&lt;=$R$4),$V$4,0)+IF(AND(AF248=$P$5,AM250&lt;=$R$5),$V$5,0)+IF(AND(AF248=$P$6,AM250&lt;=$R$6),$V$6,0)+IF(AND(AF248=$P$7,AM250&lt;=$R$7),$V$7,0))
)</f>
        <v/>
      </c>
      <c r="AF250" s="153" t="s">
        <v>302</v>
      </c>
      <c r="AG250" s="598"/>
      <c r="AH250" s="599"/>
      <c r="AI250" s="600"/>
      <c r="AJ250" s="598"/>
      <c r="AK250" s="599"/>
      <c r="AL250" s="600"/>
      <c r="AM250" s="384"/>
      <c r="AN250" s="256"/>
      <c r="AO250" s="388"/>
      <c r="AP250" s="185">
        <f t="shared" ref="AP250" si="279">IF(AF248="",0,1)</f>
        <v>0</v>
      </c>
      <c r="AR250" s="185" t="str">
        <f t="shared" ref="AR250" si="280">AE250</f>
        <v/>
      </c>
      <c r="AS250" s="185" t="str">
        <f t="shared" ref="AS250" si="281">AE251</f>
        <v/>
      </c>
      <c r="AT250" s="185" t="str">
        <f t="shared" ref="AT250" si="282">AE252</f>
        <v/>
      </c>
      <c r="AU250" s="185" t="str">
        <f t="shared" ref="AU250" si="283">AE253</f>
        <v/>
      </c>
      <c r="AV250" s="185" t="str">
        <f t="shared" ref="AV250" si="284">AE254</f>
        <v/>
      </c>
      <c r="AW250" s="185" t="str">
        <f t="shared" ref="AW250" si="285">AE255</f>
        <v/>
      </c>
      <c r="AX250" s="185" t="str">
        <f t="shared" ref="AX250" si="286">AE256</f>
        <v/>
      </c>
    </row>
    <row r="251" spans="4:50" x14ac:dyDescent="0.3">
      <c r="D251" s="244"/>
      <c r="E251" s="341" t="str">
        <f>IF(OR(M251="",M251=0,J251="",G251=""),"",
(IF(AND(F248=$P$4,M251&lt;=$R$4),$V$4,0)+IF(AND(F248=$P$5,M251&lt;=$R$5),$V$5,0)+IF(AND(F248=$P$6,M251&lt;=$R$6),$V$6,0)+IF(AND(F248=$P$7,M251&lt;=$R$7),$V$7,0))
)</f>
        <v/>
      </c>
      <c r="F251" s="153" t="s">
        <v>303</v>
      </c>
      <c r="G251" s="619"/>
      <c r="H251" s="617"/>
      <c r="I251" s="618"/>
      <c r="J251" s="616"/>
      <c r="K251" s="617"/>
      <c r="L251" s="618"/>
      <c r="M251" s="255"/>
      <c r="N251" s="256"/>
      <c r="O251" s="388"/>
      <c r="AA251" s="50"/>
      <c r="AD251" s="244"/>
      <c r="AE251" s="341" t="str">
        <f>IF(OR(AM251="",AM251=0,AJ251="",AG251=""),"",
(IF(AND(AF248=$P$4,AM251&lt;=$R$4),$V$4,0)+IF(AND(AF248=$P$5,AM251&lt;=$R$5),$V$5,0)+IF(AND(AF248=$P$6,AM251&lt;=$R$6),$V$6,0)+IF(AND(AF248=$P$7,AM251&lt;=$R$7),$V$7,0))
)</f>
        <v/>
      </c>
      <c r="AF251" s="153" t="s">
        <v>303</v>
      </c>
      <c r="AG251" s="598"/>
      <c r="AH251" s="599"/>
      <c r="AI251" s="600"/>
      <c r="AJ251" s="598"/>
      <c r="AK251" s="599"/>
      <c r="AL251" s="600"/>
      <c r="AM251" s="384"/>
      <c r="AN251" s="256"/>
      <c r="AO251" s="388"/>
    </row>
    <row r="252" spans="4:50" x14ac:dyDescent="0.3">
      <c r="D252" s="244"/>
      <c r="E252" s="341" t="str">
        <f>IF(OR(M252="",M252=0,J252="",G252=""),"",
(IF(AND(F248=$P$4,M252&lt;=$R$4),$V$4,0)+IF(AND(F248=$P$5,M252&lt;=$R$5),$V$5,0)+IF(AND(F248=$P$6,M252&lt;=$R$6),$V$6,0)+IF(AND(F248=$P$7,M252&lt;=$R$7),$V$7,0))
)</f>
        <v/>
      </c>
      <c r="F252" s="153" t="s">
        <v>304</v>
      </c>
      <c r="G252" s="619"/>
      <c r="H252" s="617"/>
      <c r="I252" s="618"/>
      <c r="J252" s="616"/>
      <c r="K252" s="617"/>
      <c r="L252" s="618"/>
      <c r="M252" s="255"/>
      <c r="N252" s="256"/>
      <c r="O252" s="388"/>
      <c r="AA252" s="50"/>
      <c r="AD252" s="244"/>
      <c r="AE252" s="341" t="str">
        <f>IF(OR(AM252="",AM252=0,AJ252="",AG252=""),"",
(IF(AND(AF248=$P$4,AM252&lt;=$R$4),$V$4,0)+IF(AND(AF248=$P$5,AM252&lt;=$R$5),$V$5,0)+IF(AND(AF248=$P$6,AM252&lt;=$R$6),$V$6,0)+IF(AND(AF248=$P$7,AM252&lt;=$R$7),$V$7,0))
)</f>
        <v/>
      </c>
      <c r="AF252" s="153" t="s">
        <v>304</v>
      </c>
      <c r="AG252" s="598"/>
      <c r="AH252" s="599"/>
      <c r="AI252" s="600"/>
      <c r="AJ252" s="598"/>
      <c r="AK252" s="599"/>
      <c r="AL252" s="600"/>
      <c r="AM252" s="384"/>
      <c r="AN252" s="256"/>
      <c r="AO252" s="388"/>
    </row>
    <row r="253" spans="4:50" x14ac:dyDescent="0.3">
      <c r="D253" s="244"/>
      <c r="E253" s="341" t="str">
        <f>IF(OR(M253="",M253=0,J253="",G253=""),"",
(IF(AND(F248=$P$4,M253&lt;=$R$4),$V$4,0)+IF(AND(F248=$P$5,M253&lt;=$R$5),$V$5,0)+IF(AND(F248=$P$6,M253&lt;=$R$6),$V$6,0)+IF(AND(F248=$P$7,M253&lt;=$R$7),$V$7,0))
)</f>
        <v/>
      </c>
      <c r="F253" s="153" t="s">
        <v>305</v>
      </c>
      <c r="G253" s="619"/>
      <c r="H253" s="617"/>
      <c r="I253" s="618"/>
      <c r="J253" s="616"/>
      <c r="K253" s="617"/>
      <c r="L253" s="618"/>
      <c r="M253" s="255"/>
      <c r="N253" s="256"/>
      <c r="O253" s="388"/>
      <c r="AA253" s="50"/>
      <c r="AD253" s="244"/>
      <c r="AE253" s="341" t="str">
        <f>IF(OR(AM253="",AM253=0,AJ253="",AG253=""),"",
(IF(AND(AF248=$P$4,AM253&lt;=$R$4),$V$4,0)+IF(AND(AF248=$P$5,AM253&lt;=$R$5),$V$5,0)+IF(AND(AF248=$P$6,AM253&lt;=$R$6),$V$6,0)+IF(AND(AF248=$P$7,AM253&lt;=$R$7),$V$7,0))
)</f>
        <v/>
      </c>
      <c r="AF253" s="153" t="s">
        <v>305</v>
      </c>
      <c r="AG253" s="598"/>
      <c r="AH253" s="599"/>
      <c r="AI253" s="600"/>
      <c r="AJ253" s="598"/>
      <c r="AK253" s="599"/>
      <c r="AL253" s="600"/>
      <c r="AM253" s="384"/>
      <c r="AN253" s="256"/>
      <c r="AO253" s="388"/>
    </row>
    <row r="254" spans="4:50" x14ac:dyDescent="0.3">
      <c r="D254" s="244"/>
      <c r="E254" s="341" t="str">
        <f>IF(OR(M254="",M254=0,J254="",G254=""),"",
(IF(AND(F248=$P$4,M254&lt;=$R$4),$V$4,0)+IF(AND(F248=$P$5,M254&lt;=$R$5),$V$5,0)+IF(AND(F248=$P$6,M254&lt;=$R$6),$V$6,0)+IF(AND(F248=$P$7,M254&lt;=$R$7),$V$7,0))
)</f>
        <v/>
      </c>
      <c r="F254" s="153" t="s">
        <v>306</v>
      </c>
      <c r="G254" s="619"/>
      <c r="H254" s="617"/>
      <c r="I254" s="618"/>
      <c r="J254" s="616"/>
      <c r="K254" s="617"/>
      <c r="L254" s="618"/>
      <c r="M254" s="255"/>
      <c r="N254" s="256"/>
      <c r="O254" s="388"/>
      <c r="AA254" s="50"/>
      <c r="AD254" s="244"/>
      <c r="AE254" s="341" t="str">
        <f>IF(OR(AM254="",AM254=0,AJ254="",AG254=""),"",
(IF(AND(AF248=$P$4,AM254&lt;=$R$4),$V$4,0)+IF(AND(AF248=$P$5,AM254&lt;=$R$5),$V$5,0)+IF(AND(AF248=$P$6,AM254&lt;=$R$6),$V$6,0)+IF(AND(AF248=$P$7,AM254&lt;=$R$7),$V$7,0))
)</f>
        <v/>
      </c>
      <c r="AF254" s="153" t="s">
        <v>306</v>
      </c>
      <c r="AG254" s="598"/>
      <c r="AH254" s="599"/>
      <c r="AI254" s="600"/>
      <c r="AJ254" s="598"/>
      <c r="AK254" s="599"/>
      <c r="AL254" s="600"/>
      <c r="AM254" s="384"/>
      <c r="AN254" s="256"/>
      <c r="AO254" s="388"/>
    </row>
    <row r="255" spans="4:50" ht="15" customHeight="1" x14ac:dyDescent="0.3">
      <c r="D255" s="244"/>
      <c r="E255" s="341" t="str">
        <f>IF(OR(M255="",M255=0,J255="",G255=""),"",
(IF(AND(F248=$P$4,M255&lt;=$R$4),$V$4,0)+IF(AND(F248=$P$5,M255&lt;=$R$5),$V$5,0)+IF(AND(F248=$P$6,M255&lt;=$R$6),$V$6,0)+IF(AND(F248=$P$7,M255&lt;=$R$7),$V$7,0))
)</f>
        <v/>
      </c>
      <c r="F255" s="153" t="s">
        <v>307</v>
      </c>
      <c r="G255" s="619"/>
      <c r="H255" s="617"/>
      <c r="I255" s="618"/>
      <c r="J255" s="616"/>
      <c r="K255" s="617"/>
      <c r="L255" s="618"/>
      <c r="M255" s="255"/>
      <c r="N255" s="256"/>
      <c r="O255" s="388"/>
      <c r="AA255" s="50"/>
      <c r="AD255" s="244"/>
      <c r="AE255" s="341" t="str">
        <f>IF(OR(AM255="",AM255=0,AJ255="",AG255=""),"",
(IF(AND(AF248=$P$4,AM255&lt;=$R$4),$V$4,0)+IF(AND(AF248=$P$5,AM255&lt;=$R$5),$V$5,0)+IF(AND(AF248=$P$6,AM255&lt;=$R$6),$V$6,0)+IF(AND(AF248=$P$7,AM255&lt;=$R$7),$V$7,0))
)</f>
        <v/>
      </c>
      <c r="AF255" s="153" t="s">
        <v>307</v>
      </c>
      <c r="AG255" s="598"/>
      <c r="AH255" s="599"/>
      <c r="AI255" s="600"/>
      <c r="AJ255" s="598"/>
      <c r="AK255" s="599"/>
      <c r="AL255" s="600"/>
      <c r="AM255" s="384"/>
      <c r="AN255" s="256"/>
      <c r="AO255" s="388"/>
    </row>
    <row r="256" spans="4:50" ht="15" customHeight="1" x14ac:dyDescent="0.3">
      <c r="D256" s="244"/>
      <c r="E256" s="341" t="str">
        <f>IF(OR(M256="",M256=0,J256="",G256=""),"",
(IF(AND(F248=$P$4,M256&lt;=$R$4),$V$4,0)+IF(AND(F248=$P$5,M256&lt;=$R$5),$V$5,0)+IF(AND(F248=$P$6,M256&lt;=$R$6),$V$6,0)+IF(AND(F248=$P$7,M256&lt;=$R$7),$V$7,0))
)</f>
        <v/>
      </c>
      <c r="F256" s="153" t="s">
        <v>308</v>
      </c>
      <c r="G256" s="619"/>
      <c r="H256" s="617"/>
      <c r="I256" s="618"/>
      <c r="J256" s="616"/>
      <c r="K256" s="617"/>
      <c r="L256" s="618"/>
      <c r="M256" s="255"/>
      <c r="N256" s="256"/>
      <c r="O256" s="388"/>
      <c r="AA256" s="50"/>
      <c r="AD256" s="244"/>
      <c r="AE256" s="341" t="str">
        <f>IF(OR(AM256="",AM256=0,AJ256="",AG256=""),"",
(IF(AND(AF248=$P$4,AM256&lt;=$R$4),$V$4,0)+IF(AND(AF248=$P$5,AM256&lt;=$R$5),$V$5,0)+IF(AND(AF248=$P$6,AM256&lt;=$R$6),$V$6,0)+IF(AND(AF248=$P$7,AM256&lt;=$R$7),$V$7,0))
)</f>
        <v/>
      </c>
      <c r="AF256" s="153" t="s">
        <v>308</v>
      </c>
      <c r="AG256" s="598"/>
      <c r="AH256" s="599"/>
      <c r="AI256" s="600"/>
      <c r="AJ256" s="598"/>
      <c r="AK256" s="599"/>
      <c r="AL256" s="600"/>
      <c r="AM256" s="384"/>
      <c r="AN256" s="256"/>
      <c r="AO256" s="388"/>
    </row>
    <row r="257" spans="4:50" ht="15" customHeight="1" thickBot="1" x14ac:dyDescent="0.35">
      <c r="D257" s="203"/>
      <c r="E257" s="3"/>
      <c r="F257" s="3"/>
      <c r="G257" s="3"/>
      <c r="H257" s="3"/>
      <c r="I257" s="3"/>
      <c r="J257" s="3"/>
      <c r="K257" s="3"/>
      <c r="L257" s="3"/>
      <c r="M257" s="3"/>
      <c r="N257" s="204"/>
      <c r="P257" s="2"/>
      <c r="AA257" s="50"/>
      <c r="AD257" s="203"/>
      <c r="AE257" s="3"/>
      <c r="AF257" s="3"/>
      <c r="AG257" s="3"/>
      <c r="AH257" s="3"/>
      <c r="AI257" s="3"/>
      <c r="AJ257" s="3"/>
      <c r="AK257" s="3"/>
      <c r="AL257" s="3"/>
      <c r="AM257" s="3"/>
      <c r="AN257" s="204"/>
      <c r="AP257" s="2"/>
    </row>
    <row r="258" spans="4:50" ht="15" customHeight="1" x14ac:dyDescent="0.3">
      <c r="D258" s="601" t="str">
        <f>IF(
OR(
OR(F260=$P$4,F260=$P$5,F260=$P$6,F260=$P$7),AND(G262="",G263="",G264="",G265="",G266="",G267="",G268="",J262="",J263="",J264="",J265="",J266="",J267="",J268="",M262="",M263="",M264="",M265="",M266="",M267="",M268="",K259="",K260="")
),
"",
"A Set-Aside must be selected."
)</f>
        <v/>
      </c>
      <c r="E258" s="602"/>
      <c r="F258" s="602"/>
      <c r="G258" s="602"/>
      <c r="H258" s="602"/>
      <c r="I258" s="602"/>
      <c r="J258" s="602"/>
      <c r="K258" s="602"/>
      <c r="L258" s="602"/>
      <c r="M258" s="602"/>
      <c r="N258" s="603"/>
      <c r="O258" s="2"/>
      <c r="AA258" s="50"/>
      <c r="AD258" s="601" t="str">
        <f>IF(
OR(
OR(AF260=$P$4,AF260=$P$5,AF260=$P$6,AF260=$P$7),AND(AG262="",AG263="",AG264="",AG265="",AG266="",AG267="",AG268="",AJ262="",AJ263="",AJ264="",AJ265="",AJ266="",AJ267="",AJ268="",AM262="",AM263="",AM264="",AM265="",AM266="",AM267="",AM268="",AK259="",AK260="")
),
"",
"A Set-Aside must be selected."
)</f>
        <v/>
      </c>
      <c r="AE258" s="602"/>
      <c r="AF258" s="602"/>
      <c r="AG258" s="602"/>
      <c r="AH258" s="602"/>
      <c r="AI258" s="602"/>
      <c r="AJ258" s="602"/>
      <c r="AK258" s="602"/>
      <c r="AL258" s="602"/>
      <c r="AM258" s="602"/>
      <c r="AN258" s="603"/>
      <c r="AO258" s="2"/>
    </row>
    <row r="259" spans="4:50" ht="15" customHeight="1" x14ac:dyDescent="0.3">
      <c r="D259" s="199"/>
      <c r="E259" s="9" t="s">
        <v>30</v>
      </c>
      <c r="F259" s="86">
        <f>F247+1</f>
        <v>19</v>
      </c>
      <c r="G259" s="9" t="s">
        <v>175</v>
      </c>
      <c r="H259" s="9"/>
      <c r="I259" s="9"/>
      <c r="J259" s="168" t="s">
        <v>111</v>
      </c>
      <c r="K259" s="148"/>
      <c r="N259" s="200"/>
      <c r="R259" s="596" t="s">
        <v>302</v>
      </c>
      <c r="S259" s="596" t="s">
        <v>303</v>
      </c>
      <c r="T259" s="596" t="s">
        <v>304</v>
      </c>
      <c r="U259" s="596" t="s">
        <v>305</v>
      </c>
      <c r="V259" s="596" t="s">
        <v>306</v>
      </c>
      <c r="W259" s="596" t="s">
        <v>307</v>
      </c>
      <c r="X259" s="596" t="s">
        <v>308</v>
      </c>
      <c r="AA259" s="50"/>
      <c r="AD259" s="199"/>
      <c r="AE259" s="9" t="s">
        <v>30</v>
      </c>
      <c r="AF259" s="86">
        <f>AF247+1</f>
        <v>19</v>
      </c>
      <c r="AG259" s="9" t="s">
        <v>175</v>
      </c>
      <c r="AH259" s="9"/>
      <c r="AI259" s="9"/>
      <c r="AJ259" s="168" t="s">
        <v>111</v>
      </c>
      <c r="AK259" s="382"/>
      <c r="AN259" s="200"/>
      <c r="AR259" s="596" t="s">
        <v>302</v>
      </c>
      <c r="AS259" s="596" t="s">
        <v>303</v>
      </c>
      <c r="AT259" s="596" t="s">
        <v>304</v>
      </c>
      <c r="AU259" s="596" t="s">
        <v>305</v>
      </c>
      <c r="AV259" s="596" t="s">
        <v>306</v>
      </c>
      <c r="AW259" s="596" t="s">
        <v>307</v>
      </c>
      <c r="AX259" s="596" t="s">
        <v>308</v>
      </c>
    </row>
    <row r="260" spans="4:50" x14ac:dyDescent="0.3">
      <c r="D260" s="604" t="s">
        <v>31</v>
      </c>
      <c r="E260" s="594"/>
      <c r="F260" s="151"/>
      <c r="G260" s="86" t="str">
        <f>IF(F260=$P$4,$Q$4,IF(F260=$P$5,$Q$5,IF(F260=$P$6,$Q$6,IF(F260=$P$7,Q$7,IF(F260=$P$8,"","")))))</f>
        <v/>
      </c>
      <c r="H260" s="201"/>
      <c r="I260" s="201"/>
      <c r="J260" s="168" t="s">
        <v>112</v>
      </c>
      <c r="K260" s="148"/>
      <c r="N260" s="200"/>
      <c r="R260" s="596"/>
      <c r="S260" s="596"/>
      <c r="T260" s="596"/>
      <c r="U260" s="596"/>
      <c r="V260" s="596"/>
      <c r="W260" s="596"/>
      <c r="X260" s="596"/>
      <c r="AA260" s="50"/>
      <c r="AD260" s="604" t="s">
        <v>31</v>
      </c>
      <c r="AE260" s="594"/>
      <c r="AF260" s="383"/>
      <c r="AG260" s="86" t="str">
        <f>IF(AF260=$P$4,$Q$4,IF(AF260=$P$5,$Q$5,IF(AF260=$P$6,$Q$6,IF(AF260=$P$7,AQ$7,IF(AF260=$P$8,"","")))))</f>
        <v/>
      </c>
      <c r="AH260" s="201"/>
      <c r="AI260" s="201"/>
      <c r="AJ260" s="168" t="s">
        <v>112</v>
      </c>
      <c r="AK260" s="382"/>
      <c r="AN260" s="200"/>
      <c r="AR260" s="596"/>
      <c r="AS260" s="596"/>
      <c r="AT260" s="596"/>
      <c r="AU260" s="596"/>
      <c r="AV260" s="596"/>
      <c r="AW260" s="596"/>
      <c r="AX260" s="596"/>
    </row>
    <row r="261" spans="4:50" x14ac:dyDescent="0.3">
      <c r="D261" s="244"/>
      <c r="E261" s="230" t="s">
        <v>52</v>
      </c>
      <c r="F261" s="9" t="s">
        <v>32</v>
      </c>
      <c r="G261" s="9" t="s">
        <v>33</v>
      </c>
      <c r="H261" s="9"/>
      <c r="I261" s="9"/>
      <c r="J261" s="9" t="s">
        <v>34</v>
      </c>
      <c r="K261" s="9"/>
      <c r="L261" s="9"/>
      <c r="M261" s="257" t="s">
        <v>35</v>
      </c>
      <c r="N261" s="202"/>
      <c r="O261" s="9"/>
      <c r="P261" s="198" t="s">
        <v>22</v>
      </c>
      <c r="Q261" s="198"/>
      <c r="R261" s="596"/>
      <c r="S261" s="596"/>
      <c r="T261" s="596"/>
      <c r="U261" s="596"/>
      <c r="V261" s="596"/>
      <c r="W261" s="596"/>
      <c r="X261" s="596"/>
      <c r="AA261" s="50"/>
      <c r="AD261" s="244"/>
      <c r="AE261" s="230" t="s">
        <v>52</v>
      </c>
      <c r="AF261" s="9" t="s">
        <v>32</v>
      </c>
      <c r="AG261" s="9" t="s">
        <v>33</v>
      </c>
      <c r="AH261" s="9"/>
      <c r="AI261" s="9"/>
      <c r="AJ261" s="9" t="s">
        <v>34</v>
      </c>
      <c r="AK261" s="9"/>
      <c r="AL261" s="9"/>
      <c r="AM261" s="257" t="s">
        <v>35</v>
      </c>
      <c r="AN261" s="202"/>
      <c r="AO261" s="9"/>
      <c r="AP261" s="198" t="s">
        <v>22</v>
      </c>
      <c r="AQ261" s="198"/>
      <c r="AR261" s="596"/>
      <c r="AS261" s="596"/>
      <c r="AT261" s="596"/>
      <c r="AU261" s="596"/>
      <c r="AV261" s="596"/>
      <c r="AW261" s="596"/>
      <c r="AX261" s="596"/>
    </row>
    <row r="262" spans="4:50" x14ac:dyDescent="0.3">
      <c r="D262" s="244"/>
      <c r="E262" s="355" t="str">
        <f>IF(OR(M262="",M262=0,J262="",G262=""),"",
(IF(AND(F260=$P$4,M262&lt;=$R$4),$V$4,0)+IF(AND(F260=$P$5,M262&lt;=$R$5),$V$5,0)+IF(AND(F260=$P$6,M262&lt;=$R$6),$V$6,0)+IF(AND(F260=$P$7,M262&lt;=$R$7),$V$7,0))
)</f>
        <v/>
      </c>
      <c r="F262" s="153" t="s">
        <v>302</v>
      </c>
      <c r="G262" s="616"/>
      <c r="H262" s="617"/>
      <c r="I262" s="618"/>
      <c r="J262" s="616"/>
      <c r="K262" s="617"/>
      <c r="L262" s="618"/>
      <c r="M262" s="255"/>
      <c r="N262" s="256"/>
      <c r="O262" s="388"/>
      <c r="P262" s="185">
        <f t="shared" ref="P262" si="287">IF(F260="",0,1)</f>
        <v>0</v>
      </c>
      <c r="R262" s="185" t="str">
        <f t="shared" ref="R262" si="288">E262</f>
        <v/>
      </c>
      <c r="S262" s="185" t="str">
        <f t="shared" ref="S262" si="289">E263</f>
        <v/>
      </c>
      <c r="T262" s="185" t="str">
        <f t="shared" ref="T262" si="290">E264</f>
        <v/>
      </c>
      <c r="U262" s="185" t="str">
        <f t="shared" ref="U262" si="291">E265</f>
        <v/>
      </c>
      <c r="V262" s="185" t="str">
        <f t="shared" ref="V262" si="292">E266</f>
        <v/>
      </c>
      <c r="W262" s="185" t="str">
        <f t="shared" ref="W262" si="293">E267</f>
        <v/>
      </c>
      <c r="X262" s="185" t="str">
        <f t="shared" ref="X262" si="294">E268</f>
        <v/>
      </c>
      <c r="AA262" s="50"/>
      <c r="AD262" s="244"/>
      <c r="AE262" s="355" t="str">
        <f>IF(OR(AM262="",AM262=0,AJ262="",AG262=""),"",
(IF(AND(AF260=$P$4,AM262&lt;=$R$4),$V$4,0)+IF(AND(AF260=$P$5,AM262&lt;=$R$5),$V$5,0)+IF(AND(AF260=$P$6,AM262&lt;=$R$6),$V$6,0)+IF(AND(AF260=$P$7,AM262&lt;=$R$7),$V$7,0))
)</f>
        <v/>
      </c>
      <c r="AF262" s="153" t="s">
        <v>302</v>
      </c>
      <c r="AG262" s="598"/>
      <c r="AH262" s="599"/>
      <c r="AI262" s="600"/>
      <c r="AJ262" s="598"/>
      <c r="AK262" s="599"/>
      <c r="AL262" s="600"/>
      <c r="AM262" s="384"/>
      <c r="AN262" s="256"/>
      <c r="AO262" s="388"/>
      <c r="AP262" s="185">
        <f t="shared" ref="AP262" si="295">IF(AF260="",0,1)</f>
        <v>0</v>
      </c>
      <c r="AR262" s="185" t="str">
        <f t="shared" ref="AR262" si="296">AE262</f>
        <v/>
      </c>
      <c r="AS262" s="185" t="str">
        <f t="shared" ref="AS262" si="297">AE263</f>
        <v/>
      </c>
      <c r="AT262" s="185" t="str">
        <f t="shared" ref="AT262" si="298">AE264</f>
        <v/>
      </c>
      <c r="AU262" s="185" t="str">
        <f t="shared" ref="AU262" si="299">AE265</f>
        <v/>
      </c>
      <c r="AV262" s="185" t="str">
        <f t="shared" ref="AV262" si="300">AE266</f>
        <v/>
      </c>
      <c r="AW262" s="185" t="str">
        <f t="shared" ref="AW262" si="301">AE267</f>
        <v/>
      </c>
      <c r="AX262" s="185" t="str">
        <f t="shared" ref="AX262" si="302">AE268</f>
        <v/>
      </c>
    </row>
    <row r="263" spans="4:50" x14ac:dyDescent="0.3">
      <c r="D263" s="244"/>
      <c r="E263" s="341" t="str">
        <f>IF(OR(M263="",M263=0,J263="",G263=""),"",
(IF(AND(F260=$P$4,M263&lt;=$R$4),$V$4,0)+IF(AND(F260=$P$5,M263&lt;=$R$5),$V$5,0)+IF(AND(F260=$P$6,M263&lt;=$R$6),$V$6,0)+IF(AND(F260=$P$7,M263&lt;=$R$7),$V$7,0))
)</f>
        <v/>
      </c>
      <c r="F263" s="153" t="s">
        <v>303</v>
      </c>
      <c r="G263" s="616"/>
      <c r="H263" s="617"/>
      <c r="I263" s="618"/>
      <c r="J263" s="616"/>
      <c r="K263" s="617"/>
      <c r="L263" s="618"/>
      <c r="M263" s="255"/>
      <c r="N263" s="256"/>
      <c r="O263" s="388"/>
      <c r="AA263" s="50"/>
      <c r="AD263" s="244"/>
      <c r="AE263" s="341" t="str">
        <f>IF(OR(AM263="",AM263=0,AJ263="",AG263=""),"",
(IF(AND(AF260=$P$4,AM263&lt;=$R$4),$V$4,0)+IF(AND(AF260=$P$5,AM263&lt;=$R$5),$V$5,0)+IF(AND(AF260=$P$6,AM263&lt;=$R$6),$V$6,0)+IF(AND(AF260=$P$7,AM263&lt;=$R$7),$V$7,0))
)</f>
        <v/>
      </c>
      <c r="AF263" s="153" t="s">
        <v>303</v>
      </c>
      <c r="AG263" s="598"/>
      <c r="AH263" s="599"/>
      <c r="AI263" s="600"/>
      <c r="AJ263" s="598"/>
      <c r="AK263" s="599"/>
      <c r="AL263" s="600"/>
      <c r="AM263" s="384"/>
      <c r="AN263" s="256"/>
      <c r="AO263" s="388"/>
    </row>
    <row r="264" spans="4:50" x14ac:dyDescent="0.3">
      <c r="D264" s="244"/>
      <c r="E264" s="341" t="str">
        <f>IF(OR(M264="",M264=0,J264="",G264=""),"",
(IF(AND(F260=$P$4,M264&lt;=$R$4),$V$4,0)+IF(AND(F260=$P$5,M264&lt;=$R$5),$V$5,0)+IF(AND(F260=$P$6,M264&lt;=$R$6),$V$6,0)+IF(AND(F260=$P$7,M264&lt;=$R$7),$V$7,0))
)</f>
        <v/>
      </c>
      <c r="F264" s="153" t="s">
        <v>304</v>
      </c>
      <c r="G264" s="616"/>
      <c r="H264" s="617"/>
      <c r="I264" s="618"/>
      <c r="J264" s="616"/>
      <c r="K264" s="617"/>
      <c r="L264" s="618"/>
      <c r="M264" s="255"/>
      <c r="N264" s="256"/>
      <c r="O264" s="388"/>
      <c r="AA264" s="50"/>
      <c r="AD264" s="244"/>
      <c r="AE264" s="341" t="str">
        <f>IF(OR(AM264="",AM264=0,AJ264="",AG264=""),"",
(IF(AND(AF260=$P$4,AM264&lt;=$R$4),$V$4,0)+IF(AND(AF260=$P$5,AM264&lt;=$R$5),$V$5,0)+IF(AND(AF260=$P$6,AM264&lt;=$R$6),$V$6,0)+IF(AND(AF260=$P$7,AM264&lt;=$R$7),$V$7,0))
)</f>
        <v/>
      </c>
      <c r="AF264" s="153" t="s">
        <v>304</v>
      </c>
      <c r="AG264" s="598"/>
      <c r="AH264" s="599"/>
      <c r="AI264" s="600"/>
      <c r="AJ264" s="598"/>
      <c r="AK264" s="599"/>
      <c r="AL264" s="600"/>
      <c r="AM264" s="384"/>
      <c r="AN264" s="256"/>
      <c r="AO264" s="388"/>
    </row>
    <row r="265" spans="4:50" ht="15" customHeight="1" x14ac:dyDescent="0.3">
      <c r="D265" s="244"/>
      <c r="E265" s="341" t="str">
        <f>IF(OR(M265="",M265=0,J265="",G265=""),"",
(IF(AND(F260=$P$4,M265&lt;=$R$4),$V$4,0)+IF(AND(F260=$P$5,M265&lt;=$R$5),$V$5,0)+IF(AND(F260=$P$6,M265&lt;=$R$6),$V$6,0)+IF(AND(F260=$P$7,M265&lt;=$R$7),$V$7,0))
)</f>
        <v/>
      </c>
      <c r="F265" s="153" t="s">
        <v>305</v>
      </c>
      <c r="G265" s="616"/>
      <c r="H265" s="617"/>
      <c r="I265" s="618"/>
      <c r="J265" s="616"/>
      <c r="K265" s="617"/>
      <c r="L265" s="618"/>
      <c r="M265" s="255"/>
      <c r="N265" s="256"/>
      <c r="O265" s="388"/>
      <c r="AA265" s="50"/>
      <c r="AD265" s="244"/>
      <c r="AE265" s="341" t="str">
        <f>IF(OR(AM265="",AM265=0,AJ265="",AG265=""),"",
(IF(AND(AF260=$P$4,AM265&lt;=$R$4),$V$4,0)+IF(AND(AF260=$P$5,AM265&lt;=$R$5),$V$5,0)+IF(AND(AF260=$P$6,AM265&lt;=$R$6),$V$6,0)+IF(AND(AF260=$P$7,AM265&lt;=$R$7),$V$7,0))
)</f>
        <v/>
      </c>
      <c r="AF265" s="153" t="s">
        <v>305</v>
      </c>
      <c r="AG265" s="598"/>
      <c r="AH265" s="599"/>
      <c r="AI265" s="600"/>
      <c r="AJ265" s="598"/>
      <c r="AK265" s="599"/>
      <c r="AL265" s="600"/>
      <c r="AM265" s="384"/>
      <c r="AN265" s="256"/>
      <c r="AO265" s="388"/>
    </row>
    <row r="266" spans="4:50" ht="15" customHeight="1" x14ac:dyDescent="0.3">
      <c r="D266" s="244"/>
      <c r="E266" s="341" t="str">
        <f>IF(OR(M266="",M266=0,J266="",G266=""),"",
(IF(AND(F260=$P$4,M266&lt;=$R$4),$V$4,0)+IF(AND(F260=$P$5,M266&lt;=$R$5),$V$5,0)+IF(AND(F260=$P$6,M266&lt;=$R$6),$V$6,0)+IF(AND(F260=$P$7,M266&lt;=$R$7),$V$7,0))
)</f>
        <v/>
      </c>
      <c r="F266" s="153" t="s">
        <v>306</v>
      </c>
      <c r="G266" s="616"/>
      <c r="H266" s="617"/>
      <c r="I266" s="618"/>
      <c r="J266" s="616"/>
      <c r="K266" s="617"/>
      <c r="L266" s="618"/>
      <c r="M266" s="255"/>
      <c r="N266" s="256"/>
      <c r="O266" s="388"/>
      <c r="AA266" s="50"/>
      <c r="AD266" s="244"/>
      <c r="AE266" s="341" t="str">
        <f>IF(OR(AM266="",AM266=0,AJ266="",AG266=""),"",
(IF(AND(AF260=$P$4,AM266&lt;=$R$4),$V$4,0)+IF(AND(AF260=$P$5,AM266&lt;=$R$5),$V$5,0)+IF(AND(AF260=$P$6,AM266&lt;=$R$6),$V$6,0)+IF(AND(AF260=$P$7,AM266&lt;=$R$7),$V$7,0))
)</f>
        <v/>
      </c>
      <c r="AF266" s="153" t="s">
        <v>306</v>
      </c>
      <c r="AG266" s="598"/>
      <c r="AH266" s="599"/>
      <c r="AI266" s="600"/>
      <c r="AJ266" s="598"/>
      <c r="AK266" s="599"/>
      <c r="AL266" s="600"/>
      <c r="AM266" s="384"/>
      <c r="AN266" s="256"/>
      <c r="AO266" s="388"/>
    </row>
    <row r="267" spans="4:50" ht="15" customHeight="1" x14ac:dyDescent="0.3">
      <c r="D267" s="244"/>
      <c r="E267" s="341" t="str">
        <f>IF(OR(M267="",M267=0,J267="",G267=""),"",
(IF(AND(F260=$P$4,M267&lt;=$R$4),$V$4,0)+IF(AND(F260=$P$5,M267&lt;=$R$5),$V$5,0)+IF(AND(F260=$P$6,M267&lt;=$R$6),$V$6,0)+IF(AND(F260=$P$7,M267&lt;=$R$7),$V$7,0))
)</f>
        <v/>
      </c>
      <c r="F267" s="153" t="s">
        <v>307</v>
      </c>
      <c r="G267" s="616"/>
      <c r="H267" s="617"/>
      <c r="I267" s="618"/>
      <c r="J267" s="616"/>
      <c r="K267" s="617"/>
      <c r="L267" s="618"/>
      <c r="M267" s="255"/>
      <c r="N267" s="256"/>
      <c r="O267" s="388"/>
      <c r="AA267" s="50"/>
      <c r="AD267" s="244"/>
      <c r="AE267" s="341" t="str">
        <f>IF(OR(AM267="",AM267=0,AJ267="",AG267=""),"",
(IF(AND(AF260=$P$4,AM267&lt;=$R$4),$V$4,0)+IF(AND(AF260=$P$5,AM267&lt;=$R$5),$V$5,0)+IF(AND(AF260=$P$6,AM267&lt;=$R$6),$V$6,0)+IF(AND(AF260=$P$7,AM267&lt;=$R$7),$V$7,0))
)</f>
        <v/>
      </c>
      <c r="AF267" s="153" t="s">
        <v>307</v>
      </c>
      <c r="AG267" s="598"/>
      <c r="AH267" s="599"/>
      <c r="AI267" s="600"/>
      <c r="AJ267" s="598"/>
      <c r="AK267" s="599"/>
      <c r="AL267" s="600"/>
      <c r="AM267" s="384"/>
      <c r="AN267" s="256"/>
      <c r="AO267" s="388"/>
    </row>
    <row r="268" spans="4:50" ht="15" customHeight="1" x14ac:dyDescent="0.3">
      <c r="D268" s="244"/>
      <c r="E268" s="341" t="str">
        <f>IF(OR(M268="",M268=0,J268="",G268=""),"",
(IF(AND(F260=$P$4,M268&lt;=$R$4),$V$4,0)+IF(AND(F260=$P$5,M268&lt;=$R$5),$V$5,0)+IF(AND(F260=$P$6,M268&lt;=$R$6),$V$6,0)+IF(AND(F260=$P$7,M268&lt;=$R$7),$V$7,0))
)</f>
        <v/>
      </c>
      <c r="F268" s="153" t="s">
        <v>308</v>
      </c>
      <c r="G268" s="616"/>
      <c r="H268" s="617"/>
      <c r="I268" s="618"/>
      <c r="J268" s="616"/>
      <c r="K268" s="617"/>
      <c r="L268" s="618"/>
      <c r="M268" s="255"/>
      <c r="N268" s="256"/>
      <c r="O268" s="388"/>
      <c r="AA268" s="50"/>
      <c r="AD268" s="244"/>
      <c r="AE268" s="341" t="str">
        <f>IF(OR(AM268="",AM268=0,AJ268="",AG268=""),"",
(IF(AND(AF260=$P$4,AM268&lt;=$R$4),$V$4,0)+IF(AND(AF260=$P$5,AM268&lt;=$R$5),$V$5,0)+IF(AND(AF260=$P$6,AM268&lt;=$R$6),$V$6,0)+IF(AND(AF260=$P$7,AM268&lt;=$R$7),$V$7,0))
)</f>
        <v/>
      </c>
      <c r="AF268" s="153" t="s">
        <v>308</v>
      </c>
      <c r="AG268" s="598"/>
      <c r="AH268" s="599"/>
      <c r="AI268" s="600"/>
      <c r="AJ268" s="598"/>
      <c r="AK268" s="599"/>
      <c r="AL268" s="600"/>
      <c r="AM268" s="384"/>
      <c r="AN268" s="256"/>
      <c r="AO268" s="388"/>
    </row>
    <row r="269" spans="4:50" ht="15" customHeight="1" thickBot="1" x14ac:dyDescent="0.35">
      <c r="D269" s="203"/>
      <c r="E269" s="3"/>
      <c r="F269" s="3"/>
      <c r="G269" s="3"/>
      <c r="H269" s="3"/>
      <c r="I269" s="3"/>
      <c r="J269" s="3"/>
      <c r="K269" s="3"/>
      <c r="L269" s="3"/>
      <c r="M269" s="3"/>
      <c r="N269" s="204"/>
      <c r="P269" s="2"/>
      <c r="AA269" s="50"/>
      <c r="AD269" s="203"/>
      <c r="AE269" s="3"/>
      <c r="AF269" s="3"/>
      <c r="AG269" s="3"/>
      <c r="AH269" s="3"/>
      <c r="AI269" s="3"/>
      <c r="AJ269" s="3"/>
      <c r="AK269" s="3"/>
      <c r="AL269" s="3"/>
      <c r="AM269" s="3"/>
      <c r="AN269" s="204"/>
      <c r="AP269" s="2"/>
    </row>
    <row r="270" spans="4:50" x14ac:dyDescent="0.3">
      <c r="D270" s="601" t="str">
        <f>IF(
OR(
OR(F272=$P$4,F272=$P$5,F272=$P$6,F272=$P$7),AND(G274="",G275="",G276="",G277="",G278="",G279="",G280="",J274="",J275="",J276="",J277="",J278="",J279="",J280="",M274="",M275="",M276="",M277="",M278="",M279="",M280="",K271="",K272="")
),
"",
"A Set-Aside must be selected."
)</f>
        <v/>
      </c>
      <c r="E270" s="602"/>
      <c r="F270" s="602"/>
      <c r="G270" s="602"/>
      <c r="H270" s="602"/>
      <c r="I270" s="602"/>
      <c r="J270" s="602"/>
      <c r="K270" s="602"/>
      <c r="L270" s="602"/>
      <c r="M270" s="602"/>
      <c r="N270" s="603"/>
      <c r="O270" s="2"/>
      <c r="AA270" s="50"/>
      <c r="AD270" s="601" t="str">
        <f>IF(
OR(
OR(AF272=$P$4,AF272=$P$5,AF272=$P$6,AF272=$P$7),AND(AG274="",AG275="",AG276="",AG277="",AG278="",AG279="",AG280="",AJ274="",AJ275="",AJ276="",AJ277="",AJ278="",AJ279="",AJ280="",AM274="",AM275="",AM276="",AM277="",AM278="",AM279="",AM280="",AK271="",AK272="")
),
"",
"A Set-Aside must be selected."
)</f>
        <v/>
      </c>
      <c r="AE270" s="602"/>
      <c r="AF270" s="602"/>
      <c r="AG270" s="602"/>
      <c r="AH270" s="602"/>
      <c r="AI270" s="602"/>
      <c r="AJ270" s="602"/>
      <c r="AK270" s="602"/>
      <c r="AL270" s="602"/>
      <c r="AM270" s="602"/>
      <c r="AN270" s="603"/>
      <c r="AO270" s="2"/>
    </row>
    <row r="271" spans="4:50" ht="15.75" customHeight="1" x14ac:dyDescent="0.3">
      <c r="D271" s="199"/>
      <c r="E271" s="9" t="s">
        <v>30</v>
      </c>
      <c r="F271" s="86">
        <f>F259+1</f>
        <v>20</v>
      </c>
      <c r="G271" s="9" t="s">
        <v>175</v>
      </c>
      <c r="H271" s="9"/>
      <c r="I271" s="9"/>
      <c r="J271" s="168" t="s">
        <v>111</v>
      </c>
      <c r="K271" s="148"/>
      <c r="N271" s="200"/>
      <c r="R271" s="596" t="s">
        <v>302</v>
      </c>
      <c r="S271" s="596" t="s">
        <v>303</v>
      </c>
      <c r="T271" s="596" t="s">
        <v>304</v>
      </c>
      <c r="U271" s="596" t="s">
        <v>305</v>
      </c>
      <c r="V271" s="596" t="s">
        <v>306</v>
      </c>
      <c r="W271" s="596" t="s">
        <v>307</v>
      </c>
      <c r="X271" s="596" t="s">
        <v>308</v>
      </c>
      <c r="AA271" s="50"/>
      <c r="AD271" s="199"/>
      <c r="AE271" s="9" t="s">
        <v>30</v>
      </c>
      <c r="AF271" s="86">
        <f>AF259+1</f>
        <v>20</v>
      </c>
      <c r="AG271" s="9" t="s">
        <v>175</v>
      </c>
      <c r="AH271" s="9"/>
      <c r="AI271" s="9"/>
      <c r="AJ271" s="168" t="s">
        <v>111</v>
      </c>
      <c r="AK271" s="382"/>
      <c r="AN271" s="200"/>
      <c r="AR271" s="596" t="s">
        <v>302</v>
      </c>
      <c r="AS271" s="596" t="s">
        <v>303</v>
      </c>
      <c r="AT271" s="596" t="s">
        <v>304</v>
      </c>
      <c r="AU271" s="596" t="s">
        <v>305</v>
      </c>
      <c r="AV271" s="596" t="s">
        <v>306</v>
      </c>
      <c r="AW271" s="596" t="s">
        <v>307</v>
      </c>
      <c r="AX271" s="596" t="s">
        <v>308</v>
      </c>
    </row>
    <row r="272" spans="4:50" x14ac:dyDescent="0.3">
      <c r="D272" s="604" t="s">
        <v>31</v>
      </c>
      <c r="E272" s="594"/>
      <c r="F272" s="151"/>
      <c r="G272" s="86" t="str">
        <f>IF(F272=$P$4,$Q$4,IF(F272=$P$5,$Q$5,IF(F272=$P$6,$Q$6,IF(F272=$P$7,Q$7,IF(F272=$P$8,"","")))))</f>
        <v/>
      </c>
      <c r="H272" s="201"/>
      <c r="I272" s="201"/>
      <c r="J272" s="168" t="s">
        <v>112</v>
      </c>
      <c r="K272" s="148"/>
      <c r="N272" s="200"/>
      <c r="R272" s="596"/>
      <c r="S272" s="596"/>
      <c r="T272" s="596"/>
      <c r="U272" s="596"/>
      <c r="V272" s="596"/>
      <c r="W272" s="596"/>
      <c r="X272" s="596"/>
      <c r="AA272" s="50"/>
      <c r="AD272" s="604" t="s">
        <v>31</v>
      </c>
      <c r="AE272" s="594"/>
      <c r="AF272" s="383"/>
      <c r="AG272" s="86" t="str">
        <f>IF(AF272=$P$4,$Q$4,IF(AF272=$P$5,$Q$5,IF(AF272=$P$6,$Q$6,IF(AF272=$P$7,AQ$7,IF(AF272=$P$8,"","")))))</f>
        <v/>
      </c>
      <c r="AH272" s="201"/>
      <c r="AI272" s="201"/>
      <c r="AJ272" s="168" t="s">
        <v>112</v>
      </c>
      <c r="AK272" s="382"/>
      <c r="AN272" s="200"/>
      <c r="AR272" s="596"/>
      <c r="AS272" s="596"/>
      <c r="AT272" s="596"/>
      <c r="AU272" s="596"/>
      <c r="AV272" s="596"/>
      <c r="AW272" s="596"/>
      <c r="AX272" s="596"/>
    </row>
    <row r="273" spans="4:50" x14ac:dyDescent="0.3">
      <c r="D273" s="244"/>
      <c r="E273" s="230" t="s">
        <v>52</v>
      </c>
      <c r="F273" s="9" t="s">
        <v>32</v>
      </c>
      <c r="G273" s="9" t="s">
        <v>33</v>
      </c>
      <c r="H273" s="9"/>
      <c r="I273" s="9"/>
      <c r="J273" s="9" t="s">
        <v>34</v>
      </c>
      <c r="K273" s="9"/>
      <c r="L273" s="9"/>
      <c r="M273" s="257" t="s">
        <v>35</v>
      </c>
      <c r="N273" s="202"/>
      <c r="O273" s="9"/>
      <c r="P273" s="198" t="s">
        <v>22</v>
      </c>
      <c r="Q273" s="198"/>
      <c r="R273" s="596"/>
      <c r="S273" s="596"/>
      <c r="T273" s="596"/>
      <c r="U273" s="596"/>
      <c r="V273" s="596"/>
      <c r="W273" s="596"/>
      <c r="X273" s="596"/>
      <c r="AA273" s="50"/>
      <c r="AD273" s="244"/>
      <c r="AE273" s="230" t="s">
        <v>52</v>
      </c>
      <c r="AF273" s="9" t="s">
        <v>32</v>
      </c>
      <c r="AG273" s="9" t="s">
        <v>33</v>
      </c>
      <c r="AH273" s="9"/>
      <c r="AI273" s="9"/>
      <c r="AJ273" s="9" t="s">
        <v>34</v>
      </c>
      <c r="AK273" s="9"/>
      <c r="AL273" s="9"/>
      <c r="AM273" s="257" t="s">
        <v>35</v>
      </c>
      <c r="AN273" s="202"/>
      <c r="AO273" s="9"/>
      <c r="AP273" s="198" t="s">
        <v>22</v>
      </c>
      <c r="AQ273" s="198"/>
      <c r="AR273" s="596"/>
      <c r="AS273" s="596"/>
      <c r="AT273" s="596"/>
      <c r="AU273" s="596"/>
      <c r="AV273" s="596"/>
      <c r="AW273" s="596"/>
      <c r="AX273" s="596"/>
    </row>
    <row r="274" spans="4:50" x14ac:dyDescent="0.3">
      <c r="D274" s="244"/>
      <c r="E274" s="355" t="str">
        <f>IF(OR(M274="",M274=0,J274="",G274=""),"",
(IF(AND(F272=$P$4,M274&lt;=$R$4),$V$4,0)+IF(AND(F272=$P$5,M274&lt;=$R$5),$V$5,0)+IF(AND(F272=$P$6,M274&lt;=$R$6),$V$6,0)+IF(AND(F272=$P$7,M274&lt;=$R$7),$V$7,0))
)</f>
        <v/>
      </c>
      <c r="F274" s="153" t="s">
        <v>302</v>
      </c>
      <c r="G274" s="616"/>
      <c r="H274" s="617"/>
      <c r="I274" s="618"/>
      <c r="J274" s="616"/>
      <c r="K274" s="617"/>
      <c r="L274" s="618"/>
      <c r="M274" s="255"/>
      <c r="N274" s="256"/>
      <c r="O274" s="388"/>
      <c r="P274" s="185">
        <f t="shared" ref="P274" si="303">IF(F272="",0,1)</f>
        <v>0</v>
      </c>
      <c r="R274" s="185" t="str">
        <f t="shared" ref="R274" si="304">E274</f>
        <v/>
      </c>
      <c r="S274" s="185" t="str">
        <f t="shared" ref="S274" si="305">E275</f>
        <v/>
      </c>
      <c r="T274" s="185" t="str">
        <f t="shared" ref="T274" si="306">E276</f>
        <v/>
      </c>
      <c r="U274" s="185" t="str">
        <f t="shared" ref="U274" si="307">E277</f>
        <v/>
      </c>
      <c r="V274" s="185" t="str">
        <f t="shared" ref="V274" si="308">E278</f>
        <v/>
      </c>
      <c r="W274" s="185" t="str">
        <f t="shared" ref="W274" si="309">E279</f>
        <v/>
      </c>
      <c r="X274" s="185" t="str">
        <f t="shared" ref="X274" si="310">E280</f>
        <v/>
      </c>
      <c r="AA274" s="50"/>
      <c r="AD274" s="244"/>
      <c r="AE274" s="355" t="str">
        <f>IF(OR(AM274="",AM274=0,AJ274="",AG274=""),"",
(IF(AND(AF272=$P$4,AM274&lt;=$R$4),$V$4,0)+IF(AND(AF272=$P$5,AM274&lt;=$R$5),$V$5,0)+IF(AND(AF272=$P$6,AM274&lt;=$R$6),$V$6,0)+IF(AND(AF272=$P$7,AM274&lt;=$R$7),$V$7,0))
)</f>
        <v/>
      </c>
      <c r="AF274" s="153" t="s">
        <v>302</v>
      </c>
      <c r="AG274" s="598"/>
      <c r="AH274" s="599"/>
      <c r="AI274" s="600"/>
      <c r="AJ274" s="598"/>
      <c r="AK274" s="599"/>
      <c r="AL274" s="600"/>
      <c r="AM274" s="384"/>
      <c r="AN274" s="256"/>
      <c r="AO274" s="388"/>
      <c r="AP274" s="185">
        <f t="shared" ref="AP274" si="311">IF(AF272="",0,1)</f>
        <v>0</v>
      </c>
      <c r="AR274" s="185" t="str">
        <f t="shared" ref="AR274" si="312">AE274</f>
        <v/>
      </c>
      <c r="AS274" s="185" t="str">
        <f t="shared" ref="AS274" si="313">AE275</f>
        <v/>
      </c>
      <c r="AT274" s="185" t="str">
        <f t="shared" ref="AT274" si="314">AE276</f>
        <v/>
      </c>
      <c r="AU274" s="185" t="str">
        <f t="shared" ref="AU274" si="315">AE277</f>
        <v/>
      </c>
      <c r="AV274" s="185" t="str">
        <f t="shared" ref="AV274" si="316">AE278</f>
        <v/>
      </c>
      <c r="AW274" s="185" t="str">
        <f t="shared" ref="AW274" si="317">AE279</f>
        <v/>
      </c>
      <c r="AX274" s="185" t="str">
        <f t="shared" ref="AX274" si="318">AE280</f>
        <v/>
      </c>
    </row>
    <row r="275" spans="4:50" ht="15" customHeight="1" x14ac:dyDescent="0.3">
      <c r="D275" s="244"/>
      <c r="E275" s="341" t="str">
        <f>IF(OR(M275="",M275=0,J275="",G275=""),"",
(IF(AND(F272=$P$4,M275&lt;=$R$4),$V$4,0)+IF(AND(F272=$P$5,M275&lt;=$R$5),$V$5,0)+IF(AND(F272=$P$6,M275&lt;=$R$6),$V$6,0)+IF(AND(F272=$P$7,M275&lt;=$R$7),$V$7,0))
)</f>
        <v/>
      </c>
      <c r="F275" s="153" t="s">
        <v>303</v>
      </c>
      <c r="G275" s="616"/>
      <c r="H275" s="617"/>
      <c r="I275" s="618"/>
      <c r="J275" s="616"/>
      <c r="K275" s="617"/>
      <c r="L275" s="618"/>
      <c r="M275" s="255"/>
      <c r="N275" s="256"/>
      <c r="O275" s="388"/>
      <c r="AA275" s="50"/>
      <c r="AD275" s="244"/>
      <c r="AE275" s="341" t="str">
        <f>IF(OR(AM275="",AM275=0,AJ275="",AG275=""),"",
(IF(AND(AF272=$P$4,AM275&lt;=$R$4),$V$4,0)+IF(AND(AF272=$P$5,AM275&lt;=$R$5),$V$5,0)+IF(AND(AF272=$P$6,AM275&lt;=$R$6),$V$6,0)+IF(AND(AF272=$P$7,AM275&lt;=$R$7),$V$7,0))
)</f>
        <v/>
      </c>
      <c r="AF275" s="153" t="s">
        <v>303</v>
      </c>
      <c r="AG275" s="598"/>
      <c r="AH275" s="599"/>
      <c r="AI275" s="600"/>
      <c r="AJ275" s="598"/>
      <c r="AK275" s="599"/>
      <c r="AL275" s="600"/>
      <c r="AM275" s="384"/>
      <c r="AN275" s="256"/>
      <c r="AO275" s="388"/>
    </row>
    <row r="276" spans="4:50" ht="15" customHeight="1" x14ac:dyDescent="0.3">
      <c r="D276" s="244"/>
      <c r="E276" s="341" t="str">
        <f>IF(OR(M276="",M276=0,J276="",G276=""),"",
(IF(AND(F272=$P$4,M276&lt;=$R$4),$V$4,0)+IF(AND(F272=$P$5,M276&lt;=$R$5),$V$5,0)+IF(AND(F272=$P$6,M276&lt;=$R$6),$V$6,0)+IF(AND(F272=$P$7,M276&lt;=$R$7),$V$7,0))
)</f>
        <v/>
      </c>
      <c r="F276" s="153" t="s">
        <v>304</v>
      </c>
      <c r="G276" s="616"/>
      <c r="H276" s="617"/>
      <c r="I276" s="618"/>
      <c r="J276" s="616"/>
      <c r="K276" s="617"/>
      <c r="L276" s="618"/>
      <c r="M276" s="255"/>
      <c r="N276" s="256"/>
      <c r="O276" s="388"/>
      <c r="AA276" s="50"/>
      <c r="AD276" s="244"/>
      <c r="AE276" s="341" t="str">
        <f>IF(OR(AM276="",AM276=0,AJ276="",AG276=""),"",
(IF(AND(AF272=$P$4,AM276&lt;=$R$4),$V$4,0)+IF(AND(AF272=$P$5,AM276&lt;=$R$5),$V$5,0)+IF(AND(AF272=$P$6,AM276&lt;=$R$6),$V$6,0)+IF(AND(AF272=$P$7,AM276&lt;=$R$7),$V$7,0))
)</f>
        <v/>
      </c>
      <c r="AF276" s="153" t="s">
        <v>304</v>
      </c>
      <c r="AG276" s="598"/>
      <c r="AH276" s="599"/>
      <c r="AI276" s="600"/>
      <c r="AJ276" s="598"/>
      <c r="AK276" s="599"/>
      <c r="AL276" s="600"/>
      <c r="AM276" s="384"/>
      <c r="AN276" s="256"/>
      <c r="AO276" s="388"/>
    </row>
    <row r="277" spans="4:50" ht="15" customHeight="1" x14ac:dyDescent="0.3">
      <c r="D277" s="244"/>
      <c r="E277" s="341" t="str">
        <f>IF(OR(M277="",M277=0,J277="",G277=""),"",
(IF(AND(F272=$P$4,M277&lt;=$R$4),$V$4,0)+IF(AND(F272=$P$5,M277&lt;=$R$5),$V$5,0)+IF(AND(F272=$P$6,M277&lt;=$R$6),$V$6,0)+IF(AND(F272=$P$7,M277&lt;=$R$7),$V$7,0))
)</f>
        <v/>
      </c>
      <c r="F277" s="153" t="s">
        <v>305</v>
      </c>
      <c r="G277" s="616"/>
      <c r="H277" s="617"/>
      <c r="I277" s="618"/>
      <c r="J277" s="616"/>
      <c r="K277" s="617"/>
      <c r="L277" s="618"/>
      <c r="M277" s="255"/>
      <c r="N277" s="256"/>
      <c r="O277" s="388"/>
      <c r="AA277" s="50"/>
      <c r="AD277" s="244"/>
      <c r="AE277" s="341" t="str">
        <f>IF(OR(AM277="",AM277=0,AJ277="",AG277=""),"",
(IF(AND(AF272=$P$4,AM277&lt;=$R$4),$V$4,0)+IF(AND(AF272=$P$5,AM277&lt;=$R$5),$V$5,0)+IF(AND(AF272=$P$6,AM277&lt;=$R$6),$V$6,0)+IF(AND(AF272=$P$7,AM277&lt;=$R$7),$V$7,0))
)</f>
        <v/>
      </c>
      <c r="AF277" s="153" t="s">
        <v>305</v>
      </c>
      <c r="AG277" s="598"/>
      <c r="AH277" s="599"/>
      <c r="AI277" s="600"/>
      <c r="AJ277" s="598"/>
      <c r="AK277" s="599"/>
      <c r="AL277" s="600"/>
      <c r="AM277" s="384"/>
      <c r="AN277" s="256"/>
      <c r="AO277" s="388"/>
    </row>
    <row r="278" spans="4:50" ht="15" customHeight="1" x14ac:dyDescent="0.3">
      <c r="D278" s="244"/>
      <c r="E278" s="341" t="str">
        <f>IF(OR(M278="",M278=0,J278="",G278=""),"",
(IF(AND(F272=$P$4,M278&lt;=$R$4),$V$4,0)+IF(AND(F272=$P$5,M278&lt;=$R$5),$V$5,0)+IF(AND(F272=$P$6,M278&lt;=$R$6),$V$6,0)+IF(AND(F272=$P$7,M278&lt;=$R$7),$V$7,0))
)</f>
        <v/>
      </c>
      <c r="F278" s="153" t="s">
        <v>306</v>
      </c>
      <c r="G278" s="616"/>
      <c r="H278" s="617"/>
      <c r="I278" s="618"/>
      <c r="J278" s="616"/>
      <c r="K278" s="617"/>
      <c r="L278" s="618"/>
      <c r="M278" s="255"/>
      <c r="N278" s="256"/>
      <c r="O278" s="388"/>
      <c r="AA278" s="50"/>
      <c r="AD278" s="244"/>
      <c r="AE278" s="341" t="str">
        <f>IF(OR(AM278="",AM278=0,AJ278="",AG278=""),"",
(IF(AND(AF272=$P$4,AM278&lt;=$R$4),$V$4,0)+IF(AND(AF272=$P$5,AM278&lt;=$R$5),$V$5,0)+IF(AND(AF272=$P$6,AM278&lt;=$R$6),$V$6,0)+IF(AND(AF272=$P$7,AM278&lt;=$R$7),$V$7,0))
)</f>
        <v/>
      </c>
      <c r="AF278" s="153" t="s">
        <v>306</v>
      </c>
      <c r="AG278" s="598"/>
      <c r="AH278" s="599"/>
      <c r="AI278" s="600"/>
      <c r="AJ278" s="598"/>
      <c r="AK278" s="599"/>
      <c r="AL278" s="600"/>
      <c r="AM278" s="384"/>
      <c r="AN278" s="256"/>
      <c r="AO278" s="388"/>
    </row>
    <row r="279" spans="4:50" ht="15" customHeight="1" x14ac:dyDescent="0.3">
      <c r="D279" s="244"/>
      <c r="E279" s="341" t="str">
        <f>IF(OR(M279="",M279=0,J279="",G279=""),"",
(IF(AND(F272=$P$4,M279&lt;=$R$4),$V$4,0)+IF(AND(F272=$P$5,M279&lt;=$R$5),$V$5,0)+IF(AND(F272=$P$6,M279&lt;=$R$6),$V$6,0)+IF(AND(F272=$P$7,M279&lt;=$R$7),$V$7,0))
)</f>
        <v/>
      </c>
      <c r="F279" s="153" t="s">
        <v>307</v>
      </c>
      <c r="G279" s="616"/>
      <c r="H279" s="617"/>
      <c r="I279" s="618"/>
      <c r="J279" s="616"/>
      <c r="K279" s="617"/>
      <c r="L279" s="618"/>
      <c r="M279" s="255"/>
      <c r="N279" s="256"/>
      <c r="O279" s="388"/>
      <c r="AA279" s="50"/>
      <c r="AD279" s="244"/>
      <c r="AE279" s="341" t="str">
        <f>IF(OR(AM279="",AM279=0,AJ279="",AG279=""),"",
(IF(AND(AF272=$P$4,AM279&lt;=$R$4),$V$4,0)+IF(AND(AF272=$P$5,AM279&lt;=$R$5),$V$5,0)+IF(AND(AF272=$P$6,AM279&lt;=$R$6),$V$6,0)+IF(AND(AF272=$P$7,AM279&lt;=$R$7),$V$7,0))
)</f>
        <v/>
      </c>
      <c r="AF279" s="153" t="s">
        <v>307</v>
      </c>
      <c r="AG279" s="598"/>
      <c r="AH279" s="599"/>
      <c r="AI279" s="600"/>
      <c r="AJ279" s="598"/>
      <c r="AK279" s="599"/>
      <c r="AL279" s="600"/>
      <c r="AM279" s="384"/>
      <c r="AN279" s="256"/>
      <c r="AO279" s="388"/>
    </row>
    <row r="280" spans="4:50" x14ac:dyDescent="0.3">
      <c r="D280" s="244"/>
      <c r="E280" s="341" t="str">
        <f>IF(OR(M280="",M280=0,J280="",G280=""),"",
(IF(AND(F272=$P$4,M280&lt;=$R$4),$V$4,0)+IF(AND(F272=$P$5,M280&lt;=$R$5),$V$5,0)+IF(AND(F272=$P$6,M280&lt;=$R$6),$V$6,0)+IF(AND(F272=$P$7,M280&lt;=$R$7),$V$7,0))
)</f>
        <v/>
      </c>
      <c r="F280" s="153" t="s">
        <v>308</v>
      </c>
      <c r="G280" s="616"/>
      <c r="H280" s="617"/>
      <c r="I280" s="618"/>
      <c r="J280" s="616"/>
      <c r="K280" s="617"/>
      <c r="L280" s="618"/>
      <c r="M280" s="255"/>
      <c r="N280" s="256"/>
      <c r="O280" s="388"/>
      <c r="AA280" s="50"/>
      <c r="AD280" s="244"/>
      <c r="AE280" s="341" t="str">
        <f>IF(OR(AM280="",AM280=0,AJ280="",AG280=""),"",
(IF(AND(AF272=$P$4,AM280&lt;=$R$4),$V$4,0)+IF(AND(AF272=$P$5,AM280&lt;=$R$5),$V$5,0)+IF(AND(AF272=$P$6,AM280&lt;=$R$6),$V$6,0)+IF(AND(AF272=$P$7,AM280&lt;=$R$7),$V$7,0))
)</f>
        <v/>
      </c>
      <c r="AF280" s="153" t="s">
        <v>308</v>
      </c>
      <c r="AG280" s="598"/>
      <c r="AH280" s="599"/>
      <c r="AI280" s="600"/>
      <c r="AJ280" s="598"/>
      <c r="AK280" s="599"/>
      <c r="AL280" s="600"/>
      <c r="AM280" s="384"/>
      <c r="AN280" s="256"/>
      <c r="AO280" s="388"/>
    </row>
    <row r="281" spans="4:50" ht="16.2" thickBot="1" x14ac:dyDescent="0.35">
      <c r="D281" s="203"/>
      <c r="E281" s="3"/>
      <c r="F281" s="3"/>
      <c r="G281" s="3"/>
      <c r="H281" s="3"/>
      <c r="I281" s="3"/>
      <c r="J281" s="3"/>
      <c r="K281" s="3"/>
      <c r="L281" s="3"/>
      <c r="M281" s="3"/>
      <c r="N281" s="204"/>
      <c r="P281" s="2"/>
      <c r="AA281" s="50"/>
      <c r="AD281" s="203"/>
      <c r="AE281" s="3"/>
      <c r="AF281" s="3"/>
      <c r="AG281" s="3"/>
      <c r="AH281" s="3"/>
      <c r="AI281" s="3"/>
      <c r="AJ281" s="3"/>
      <c r="AK281" s="3"/>
      <c r="AL281" s="3"/>
      <c r="AM281" s="3"/>
      <c r="AN281" s="204"/>
      <c r="AP281" s="2"/>
    </row>
    <row r="282" spans="4:50" x14ac:dyDescent="0.3">
      <c r="D282" s="601" t="str">
        <f>IF(
OR(
OR(F284=$P$4,F284=$P$5,F284=$P$6,F284=$P$7),AND(G286="",G287="",G288="",G289="",G290="",G291="",G292="",J286="",J287="",J288="",J289="",J290="",J291="",J292="",M286="",M287="",M288="",M289="",M290="",M291="",M292="",K283="",K284="")
),
"",
"A Set-Aside must be selected."
)</f>
        <v/>
      </c>
      <c r="E282" s="602"/>
      <c r="F282" s="602"/>
      <c r="G282" s="602"/>
      <c r="H282" s="602"/>
      <c r="I282" s="602"/>
      <c r="J282" s="602"/>
      <c r="K282" s="602"/>
      <c r="L282" s="602"/>
      <c r="M282" s="602"/>
      <c r="N282" s="603"/>
      <c r="O282" s="2"/>
      <c r="AA282" s="50"/>
      <c r="AD282" s="601" t="str">
        <f>IF(
OR(
OR(AF284=$P$4,AF284=$P$5,AF284=$P$6,AF284=$P$7),AND(AG286="",AG287="",AG288="",AG289="",AG290="",AG291="",AG292="",AJ286="",AJ287="",AJ288="",AJ289="",AJ290="",AJ291="",AJ292="",AM286="",AM287="",AM288="",AM289="",AM290="",AM291="",AM292="",AK283="",AK284="")
),
"",
"A Set-Aside must be selected."
)</f>
        <v/>
      </c>
      <c r="AE282" s="602"/>
      <c r="AF282" s="602"/>
      <c r="AG282" s="602"/>
      <c r="AH282" s="602"/>
      <c r="AI282" s="602"/>
      <c r="AJ282" s="602"/>
      <c r="AK282" s="602"/>
      <c r="AL282" s="602"/>
      <c r="AM282" s="602"/>
      <c r="AN282" s="603"/>
      <c r="AO282" s="2"/>
    </row>
    <row r="283" spans="4:50" ht="15.75" customHeight="1" x14ac:dyDescent="0.3">
      <c r="D283" s="199"/>
      <c r="E283" s="9" t="s">
        <v>30</v>
      </c>
      <c r="F283" s="86">
        <f>F271+1</f>
        <v>21</v>
      </c>
      <c r="G283" s="9" t="s">
        <v>175</v>
      </c>
      <c r="H283" s="9"/>
      <c r="I283" s="9"/>
      <c r="J283" s="168" t="s">
        <v>111</v>
      </c>
      <c r="K283" s="148"/>
      <c r="N283" s="200"/>
      <c r="R283" s="596" t="s">
        <v>302</v>
      </c>
      <c r="S283" s="596" t="s">
        <v>303</v>
      </c>
      <c r="T283" s="596" t="s">
        <v>304</v>
      </c>
      <c r="U283" s="596" t="s">
        <v>305</v>
      </c>
      <c r="V283" s="596" t="s">
        <v>306</v>
      </c>
      <c r="W283" s="596" t="s">
        <v>307</v>
      </c>
      <c r="X283" s="596" t="s">
        <v>308</v>
      </c>
      <c r="AA283" s="50"/>
      <c r="AD283" s="199"/>
      <c r="AE283" s="9" t="s">
        <v>30</v>
      </c>
      <c r="AF283" s="86">
        <f>AF271+1</f>
        <v>21</v>
      </c>
      <c r="AG283" s="9" t="s">
        <v>175</v>
      </c>
      <c r="AH283" s="9"/>
      <c r="AI283" s="9"/>
      <c r="AJ283" s="168" t="s">
        <v>111</v>
      </c>
      <c r="AK283" s="382"/>
      <c r="AN283" s="200"/>
      <c r="AR283" s="596" t="s">
        <v>302</v>
      </c>
      <c r="AS283" s="596" t="s">
        <v>303</v>
      </c>
      <c r="AT283" s="596" t="s">
        <v>304</v>
      </c>
      <c r="AU283" s="596" t="s">
        <v>305</v>
      </c>
      <c r="AV283" s="596" t="s">
        <v>306</v>
      </c>
      <c r="AW283" s="596" t="s">
        <v>307</v>
      </c>
      <c r="AX283" s="596" t="s">
        <v>308</v>
      </c>
    </row>
    <row r="284" spans="4:50" x14ac:dyDescent="0.3">
      <c r="D284" s="604" t="s">
        <v>31</v>
      </c>
      <c r="E284" s="594"/>
      <c r="F284" s="151"/>
      <c r="G284" s="86" t="str">
        <f>IF(F284=$P$4,$Q$4,IF(F284=$P$5,$Q$5,IF(F284=$P$6,$Q$6,IF(F284=$P$7,Q$7,IF(F284=$P$8,"","")))))</f>
        <v/>
      </c>
      <c r="H284" s="201"/>
      <c r="I284" s="201"/>
      <c r="J284" s="168" t="s">
        <v>112</v>
      </c>
      <c r="K284" s="148"/>
      <c r="N284" s="200"/>
      <c r="R284" s="596"/>
      <c r="S284" s="596"/>
      <c r="T284" s="596"/>
      <c r="U284" s="596"/>
      <c r="V284" s="596"/>
      <c r="W284" s="596"/>
      <c r="X284" s="596"/>
      <c r="AA284" s="50"/>
      <c r="AD284" s="604" t="s">
        <v>31</v>
      </c>
      <c r="AE284" s="594"/>
      <c r="AF284" s="383"/>
      <c r="AG284" s="86" t="str">
        <f>IF(AF284=$P$4,$Q$4,IF(AF284=$P$5,$Q$5,IF(AF284=$P$6,$Q$6,IF(AF284=$P$7,AQ$7,IF(AF284=$P$8,"","")))))</f>
        <v/>
      </c>
      <c r="AH284" s="201"/>
      <c r="AI284" s="201"/>
      <c r="AJ284" s="168" t="s">
        <v>112</v>
      </c>
      <c r="AK284" s="382"/>
      <c r="AN284" s="200"/>
      <c r="AR284" s="596"/>
      <c r="AS284" s="596"/>
      <c r="AT284" s="596"/>
      <c r="AU284" s="596"/>
      <c r="AV284" s="596"/>
      <c r="AW284" s="596"/>
      <c r="AX284" s="596"/>
    </row>
    <row r="285" spans="4:50" ht="15" customHeight="1" x14ac:dyDescent="0.3">
      <c r="D285" s="244"/>
      <c r="E285" s="230" t="s">
        <v>52</v>
      </c>
      <c r="F285" s="9" t="s">
        <v>32</v>
      </c>
      <c r="G285" s="9" t="s">
        <v>33</v>
      </c>
      <c r="H285" s="9"/>
      <c r="I285" s="9"/>
      <c r="J285" s="9" t="s">
        <v>34</v>
      </c>
      <c r="K285" s="9"/>
      <c r="L285" s="9"/>
      <c r="M285" s="257" t="s">
        <v>35</v>
      </c>
      <c r="N285" s="202"/>
      <c r="O285" s="9"/>
      <c r="P285" s="198" t="s">
        <v>22</v>
      </c>
      <c r="Q285" s="198"/>
      <c r="R285" s="596"/>
      <c r="S285" s="596"/>
      <c r="T285" s="596"/>
      <c r="U285" s="596"/>
      <c r="V285" s="596"/>
      <c r="W285" s="596"/>
      <c r="X285" s="596"/>
      <c r="AA285" s="50"/>
      <c r="AD285" s="244"/>
      <c r="AE285" s="230" t="s">
        <v>52</v>
      </c>
      <c r="AF285" s="9" t="s">
        <v>32</v>
      </c>
      <c r="AG285" s="9" t="s">
        <v>33</v>
      </c>
      <c r="AH285" s="9"/>
      <c r="AI285" s="9"/>
      <c r="AJ285" s="9" t="s">
        <v>34</v>
      </c>
      <c r="AK285" s="9"/>
      <c r="AL285" s="9"/>
      <c r="AM285" s="257" t="s">
        <v>35</v>
      </c>
      <c r="AN285" s="202"/>
      <c r="AO285" s="9"/>
      <c r="AP285" s="198" t="s">
        <v>22</v>
      </c>
      <c r="AQ285" s="198"/>
      <c r="AR285" s="596"/>
      <c r="AS285" s="596"/>
      <c r="AT285" s="596"/>
      <c r="AU285" s="596"/>
      <c r="AV285" s="596"/>
      <c r="AW285" s="596"/>
      <c r="AX285" s="596"/>
    </row>
    <row r="286" spans="4:50" ht="15" customHeight="1" x14ac:dyDescent="0.3">
      <c r="D286" s="244"/>
      <c r="E286" s="355" t="str">
        <f>IF(OR(M286="",M286=0,J286="",G286=""),"",
(IF(AND(F284=$P$4,M286&lt;=$R$4),$V$4,0)+IF(AND(F284=$P$5,M286&lt;=$R$5),$V$5,0)+IF(AND(F284=$P$6,M286&lt;=$R$6),$V$6,0)+IF(AND(F284=$P$7,M286&lt;=$R$7),$V$7,0))
)</f>
        <v/>
      </c>
      <c r="F286" s="153" t="s">
        <v>302</v>
      </c>
      <c r="G286" s="616"/>
      <c r="H286" s="617"/>
      <c r="I286" s="618"/>
      <c r="J286" s="616"/>
      <c r="K286" s="617"/>
      <c r="L286" s="618"/>
      <c r="M286" s="255"/>
      <c r="N286" s="256"/>
      <c r="O286" s="388"/>
      <c r="P286" s="185">
        <f t="shared" ref="P286" si="319">IF(F284="",0,1)</f>
        <v>0</v>
      </c>
      <c r="R286" s="185" t="str">
        <f t="shared" ref="R286" si="320">E286</f>
        <v/>
      </c>
      <c r="S286" s="185" t="str">
        <f t="shared" ref="S286" si="321">E287</f>
        <v/>
      </c>
      <c r="T286" s="185" t="str">
        <f t="shared" ref="T286" si="322">E288</f>
        <v/>
      </c>
      <c r="U286" s="185" t="str">
        <f t="shared" ref="U286" si="323">E289</f>
        <v/>
      </c>
      <c r="V286" s="185" t="str">
        <f t="shared" ref="V286" si="324">E290</f>
        <v/>
      </c>
      <c r="W286" s="185" t="str">
        <f t="shared" ref="W286" si="325">E291</f>
        <v/>
      </c>
      <c r="X286" s="185" t="str">
        <f t="shared" ref="X286" si="326">E292</f>
        <v/>
      </c>
      <c r="AA286" s="50"/>
      <c r="AD286" s="244"/>
      <c r="AE286" s="355" t="str">
        <f>IF(OR(AM286="",AM286=0,AJ286="",AG286=""),"",
(IF(AND(AF284=$P$4,AM286&lt;=$R$4),$V$4,0)+IF(AND(AF284=$P$5,AM286&lt;=$R$5),$V$5,0)+IF(AND(AF284=$P$6,AM286&lt;=$R$6),$V$6,0)+IF(AND(AF284=$P$7,AM286&lt;=$R$7),$V$7,0))
)</f>
        <v/>
      </c>
      <c r="AF286" s="153" t="s">
        <v>302</v>
      </c>
      <c r="AG286" s="598"/>
      <c r="AH286" s="599"/>
      <c r="AI286" s="600"/>
      <c r="AJ286" s="598"/>
      <c r="AK286" s="599"/>
      <c r="AL286" s="600"/>
      <c r="AM286" s="384"/>
      <c r="AN286" s="256"/>
      <c r="AO286" s="388"/>
      <c r="AP286" s="185">
        <f t="shared" ref="AP286" si="327">IF(AF284="",0,1)</f>
        <v>0</v>
      </c>
      <c r="AR286" s="185" t="str">
        <f t="shared" ref="AR286" si="328">AE286</f>
        <v/>
      </c>
      <c r="AS286" s="185" t="str">
        <f t="shared" ref="AS286" si="329">AE287</f>
        <v/>
      </c>
      <c r="AT286" s="185" t="str">
        <f t="shared" ref="AT286" si="330">AE288</f>
        <v/>
      </c>
      <c r="AU286" s="185" t="str">
        <f t="shared" ref="AU286" si="331">AE289</f>
        <v/>
      </c>
      <c r="AV286" s="185" t="str">
        <f t="shared" ref="AV286" si="332">AE290</f>
        <v/>
      </c>
      <c r="AW286" s="185" t="str">
        <f t="shared" ref="AW286" si="333">AE291</f>
        <v/>
      </c>
      <c r="AX286" s="185" t="str">
        <f t="shared" ref="AX286" si="334">AE292</f>
        <v/>
      </c>
    </row>
    <row r="287" spans="4:50" ht="15" customHeight="1" x14ac:dyDescent="0.3">
      <c r="D287" s="244"/>
      <c r="E287" s="341" t="str">
        <f>IF(OR(M287="",M287=0,J287="",G287=""),"",
(IF(AND(F284=$P$4,M287&lt;=$R$4),$V$4,0)+IF(AND(F284=$P$5,M287&lt;=$R$5),$V$5,0)+IF(AND(F284=$P$6,M287&lt;=$R$6),$V$6,0)+IF(AND(F284=$P$7,M287&lt;=$R$7),$V$7,0))
)</f>
        <v/>
      </c>
      <c r="F287" s="153" t="s">
        <v>303</v>
      </c>
      <c r="G287" s="616"/>
      <c r="H287" s="617"/>
      <c r="I287" s="618"/>
      <c r="J287" s="616"/>
      <c r="K287" s="617"/>
      <c r="L287" s="618"/>
      <c r="M287" s="255"/>
      <c r="N287" s="256"/>
      <c r="O287" s="388"/>
      <c r="AA287" s="50"/>
      <c r="AD287" s="244"/>
      <c r="AE287" s="341" t="str">
        <f>IF(OR(AM287="",AM287=0,AJ287="",AG287=""),"",
(IF(AND(AF284=$P$4,AM287&lt;=$R$4),$V$4,0)+IF(AND(AF284=$P$5,AM287&lt;=$R$5),$V$5,0)+IF(AND(AF284=$P$6,AM287&lt;=$R$6),$V$6,0)+IF(AND(AF284=$P$7,AM287&lt;=$R$7),$V$7,0))
)</f>
        <v/>
      </c>
      <c r="AF287" s="153" t="s">
        <v>303</v>
      </c>
      <c r="AG287" s="598"/>
      <c r="AH287" s="599"/>
      <c r="AI287" s="600"/>
      <c r="AJ287" s="598"/>
      <c r="AK287" s="599"/>
      <c r="AL287" s="600"/>
      <c r="AM287" s="384"/>
      <c r="AN287" s="256"/>
      <c r="AO287" s="388"/>
    </row>
    <row r="288" spans="4:50" ht="15" customHeight="1" x14ac:dyDescent="0.3">
      <c r="D288" s="244"/>
      <c r="E288" s="341" t="str">
        <f>IF(OR(M288="",M288=0,J288="",G288=""),"",
(IF(AND(F284=$P$4,M288&lt;=$R$4),$V$4,0)+IF(AND(F284=$P$5,M288&lt;=$R$5),$V$5,0)+IF(AND(F284=$P$6,M288&lt;=$R$6),$V$6,0)+IF(AND(F284=$P$7,M288&lt;=$R$7),$V$7,0))
)</f>
        <v/>
      </c>
      <c r="F288" s="153" t="s">
        <v>304</v>
      </c>
      <c r="G288" s="616"/>
      <c r="H288" s="617"/>
      <c r="I288" s="618"/>
      <c r="J288" s="616"/>
      <c r="K288" s="617"/>
      <c r="L288" s="618"/>
      <c r="M288" s="255"/>
      <c r="N288" s="256"/>
      <c r="O288" s="388"/>
      <c r="AA288" s="50"/>
      <c r="AD288" s="244"/>
      <c r="AE288" s="341" t="str">
        <f>IF(OR(AM288="",AM288=0,AJ288="",AG288=""),"",
(IF(AND(AF284=$P$4,AM288&lt;=$R$4),$V$4,0)+IF(AND(AF284=$P$5,AM288&lt;=$R$5),$V$5,0)+IF(AND(AF284=$P$6,AM288&lt;=$R$6),$V$6,0)+IF(AND(AF284=$P$7,AM288&lt;=$R$7),$V$7,0))
)</f>
        <v/>
      </c>
      <c r="AF288" s="153" t="s">
        <v>304</v>
      </c>
      <c r="AG288" s="598"/>
      <c r="AH288" s="599"/>
      <c r="AI288" s="600"/>
      <c r="AJ288" s="598"/>
      <c r="AK288" s="599"/>
      <c r="AL288" s="600"/>
      <c r="AM288" s="384"/>
      <c r="AN288" s="256"/>
      <c r="AO288" s="388"/>
    </row>
    <row r="289" spans="4:50" ht="15" customHeight="1" x14ac:dyDescent="0.3">
      <c r="D289" s="244"/>
      <c r="E289" s="341" t="str">
        <f>IF(OR(M289="",M289=0,J289="",G289=""),"",
(IF(AND(F284=$P$4,M289&lt;=$R$4),$V$4,0)+IF(AND(F284=$P$5,M289&lt;=$R$5),$V$5,0)+IF(AND(F284=$P$6,M289&lt;=$R$6),$V$6,0)+IF(AND(F284=$P$7,M289&lt;=$R$7),$V$7,0))
)</f>
        <v/>
      </c>
      <c r="F289" s="153" t="s">
        <v>305</v>
      </c>
      <c r="G289" s="616"/>
      <c r="H289" s="617"/>
      <c r="I289" s="618"/>
      <c r="J289" s="616"/>
      <c r="K289" s="617"/>
      <c r="L289" s="618"/>
      <c r="M289" s="255"/>
      <c r="N289" s="256"/>
      <c r="O289" s="388"/>
      <c r="AA289" s="50"/>
      <c r="AD289" s="244"/>
      <c r="AE289" s="341" t="str">
        <f>IF(OR(AM289="",AM289=0,AJ289="",AG289=""),"",
(IF(AND(AF284=$P$4,AM289&lt;=$R$4),$V$4,0)+IF(AND(AF284=$P$5,AM289&lt;=$R$5),$V$5,0)+IF(AND(AF284=$P$6,AM289&lt;=$R$6),$V$6,0)+IF(AND(AF284=$P$7,AM289&lt;=$R$7),$V$7,0))
)</f>
        <v/>
      </c>
      <c r="AF289" s="153" t="s">
        <v>305</v>
      </c>
      <c r="AG289" s="598"/>
      <c r="AH289" s="599"/>
      <c r="AI289" s="600"/>
      <c r="AJ289" s="598"/>
      <c r="AK289" s="599"/>
      <c r="AL289" s="600"/>
      <c r="AM289" s="384"/>
      <c r="AN289" s="256"/>
      <c r="AO289" s="388"/>
    </row>
    <row r="290" spans="4:50" x14ac:dyDescent="0.3">
      <c r="D290" s="244"/>
      <c r="E290" s="341" t="str">
        <f>IF(OR(M290="",M290=0,J290="",G290=""),"",
(IF(AND(F284=$P$4,M290&lt;=$R$4),$V$4,0)+IF(AND(F284=$P$5,M290&lt;=$R$5),$V$5,0)+IF(AND(F284=$P$6,M290&lt;=$R$6),$V$6,0)+IF(AND(F284=$P$7,M290&lt;=$R$7),$V$7,0))
)</f>
        <v/>
      </c>
      <c r="F290" s="153" t="s">
        <v>306</v>
      </c>
      <c r="G290" s="616"/>
      <c r="H290" s="617"/>
      <c r="I290" s="618"/>
      <c r="J290" s="616"/>
      <c r="K290" s="617"/>
      <c r="L290" s="618"/>
      <c r="M290" s="255"/>
      <c r="N290" s="256"/>
      <c r="O290" s="388"/>
      <c r="AA290" s="50"/>
      <c r="AD290" s="244"/>
      <c r="AE290" s="341" t="str">
        <f>IF(OR(AM290="",AM290=0,AJ290="",AG290=""),"",
(IF(AND(AF284=$P$4,AM290&lt;=$R$4),$V$4,0)+IF(AND(AF284=$P$5,AM290&lt;=$R$5),$V$5,0)+IF(AND(AF284=$P$6,AM290&lt;=$R$6),$V$6,0)+IF(AND(AF284=$P$7,AM290&lt;=$R$7),$V$7,0))
)</f>
        <v/>
      </c>
      <c r="AF290" s="153" t="s">
        <v>306</v>
      </c>
      <c r="AG290" s="598"/>
      <c r="AH290" s="599"/>
      <c r="AI290" s="600"/>
      <c r="AJ290" s="598"/>
      <c r="AK290" s="599"/>
      <c r="AL290" s="600"/>
      <c r="AM290" s="384"/>
      <c r="AN290" s="256"/>
      <c r="AO290" s="388"/>
    </row>
    <row r="291" spans="4:50" x14ac:dyDescent="0.3">
      <c r="D291" s="244"/>
      <c r="E291" s="341" t="str">
        <f>IF(OR(M291="",M291=0,J291="",G291=""),"",
(IF(AND(F284=$P$4,M291&lt;=$R$4),$V$4,0)+IF(AND(F284=$P$5,M291&lt;=$R$5),$V$5,0)+IF(AND(F284=$P$6,M291&lt;=$R$6),$V$6,0)+IF(AND(F284=$P$7,M291&lt;=$R$7),$V$7,0))
)</f>
        <v/>
      </c>
      <c r="F291" s="153" t="s">
        <v>307</v>
      </c>
      <c r="G291" s="616"/>
      <c r="H291" s="617"/>
      <c r="I291" s="618"/>
      <c r="J291" s="616"/>
      <c r="K291" s="617"/>
      <c r="L291" s="618"/>
      <c r="M291" s="255"/>
      <c r="N291" s="256"/>
      <c r="O291" s="388"/>
      <c r="AA291" s="50"/>
      <c r="AD291" s="244"/>
      <c r="AE291" s="341" t="str">
        <f>IF(OR(AM291="",AM291=0,AJ291="",AG291=""),"",
(IF(AND(AF284=$P$4,AM291&lt;=$R$4),$V$4,0)+IF(AND(AF284=$P$5,AM291&lt;=$R$5),$V$5,0)+IF(AND(AF284=$P$6,AM291&lt;=$R$6),$V$6,0)+IF(AND(AF284=$P$7,AM291&lt;=$R$7),$V$7,0))
)</f>
        <v/>
      </c>
      <c r="AF291" s="153" t="s">
        <v>307</v>
      </c>
      <c r="AG291" s="598"/>
      <c r="AH291" s="599"/>
      <c r="AI291" s="600"/>
      <c r="AJ291" s="598"/>
      <c r="AK291" s="599"/>
      <c r="AL291" s="600"/>
      <c r="AM291" s="384"/>
      <c r="AN291" s="256"/>
      <c r="AO291" s="388"/>
    </row>
    <row r="292" spans="4:50" x14ac:dyDescent="0.3">
      <c r="D292" s="244"/>
      <c r="E292" s="341" t="str">
        <f>IF(OR(M292="",M292=0,J292="",G292=""),"",
(IF(AND(F284=$P$4,M292&lt;=$R$4),$V$4,0)+IF(AND(F284=$P$5,M292&lt;=$R$5),$V$5,0)+IF(AND(F284=$P$6,M292&lt;=$R$6),$V$6,0)+IF(AND(F284=$P$7,M292&lt;=$R$7),$V$7,0))
)</f>
        <v/>
      </c>
      <c r="F292" s="153" t="s">
        <v>308</v>
      </c>
      <c r="G292" s="616"/>
      <c r="H292" s="617"/>
      <c r="I292" s="618"/>
      <c r="J292" s="616"/>
      <c r="K292" s="617"/>
      <c r="L292" s="618"/>
      <c r="M292" s="255"/>
      <c r="N292" s="256"/>
      <c r="O292" s="388"/>
      <c r="AA292" s="50"/>
      <c r="AD292" s="244"/>
      <c r="AE292" s="341" t="str">
        <f>IF(OR(AM292="",AM292=0,AJ292="",AG292=""),"",
(IF(AND(AF284=$P$4,AM292&lt;=$R$4),$V$4,0)+IF(AND(AF284=$P$5,AM292&lt;=$R$5),$V$5,0)+IF(AND(AF284=$P$6,AM292&lt;=$R$6),$V$6,0)+IF(AND(AF284=$P$7,AM292&lt;=$R$7),$V$7,0))
)</f>
        <v/>
      </c>
      <c r="AF292" s="153" t="s">
        <v>308</v>
      </c>
      <c r="AG292" s="598"/>
      <c r="AH292" s="599"/>
      <c r="AI292" s="600"/>
      <c r="AJ292" s="598"/>
      <c r="AK292" s="599"/>
      <c r="AL292" s="600"/>
      <c r="AM292" s="384"/>
      <c r="AN292" s="256"/>
      <c r="AO292" s="388"/>
    </row>
    <row r="293" spans="4:50" ht="16.2" thickBot="1" x14ac:dyDescent="0.35">
      <c r="D293" s="203"/>
      <c r="E293" s="3"/>
      <c r="F293" s="3"/>
      <c r="G293" s="3"/>
      <c r="H293" s="3"/>
      <c r="I293" s="3"/>
      <c r="J293" s="3"/>
      <c r="K293" s="3"/>
      <c r="L293" s="3"/>
      <c r="M293" s="3"/>
      <c r="N293" s="204"/>
      <c r="P293" s="2"/>
      <c r="AA293" s="50"/>
      <c r="AD293" s="203"/>
      <c r="AE293" s="3"/>
      <c r="AF293" s="3"/>
      <c r="AG293" s="3"/>
      <c r="AH293" s="3"/>
      <c r="AI293" s="3"/>
      <c r="AJ293" s="3"/>
      <c r="AK293" s="3"/>
      <c r="AL293" s="3"/>
      <c r="AM293" s="3"/>
      <c r="AN293" s="204"/>
      <c r="AP293" s="2"/>
    </row>
    <row r="294" spans="4:50" x14ac:dyDescent="0.3">
      <c r="D294" s="601" t="str">
        <f>IF(
OR(
OR(F296=$P$4,F296=$P$5,F296=$P$6,F296=$P$7),AND(G298="",G299="",G300="",G301="",G302="",G303="",G304="",J298="",J299="",J300="",J301="",J302="",J303="",J304="",M298="",M299="",M300="",M301="",M302="",M303="",M304="",K295="",K296="")
),
"",
"A Set-Aside must be selected."
)</f>
        <v/>
      </c>
      <c r="E294" s="602"/>
      <c r="F294" s="602"/>
      <c r="G294" s="602"/>
      <c r="H294" s="602"/>
      <c r="I294" s="602"/>
      <c r="J294" s="602"/>
      <c r="K294" s="602"/>
      <c r="L294" s="602"/>
      <c r="M294" s="602"/>
      <c r="N294" s="603"/>
      <c r="O294" s="2"/>
      <c r="AA294" s="50"/>
      <c r="AD294" s="601" t="str">
        <f>IF(
OR(
OR(AF296=$P$4,AF296=$P$5,AF296=$P$6,AF296=$P$7),AND(AG298="",AG299="",AG300="",AG301="",AG302="",AG303="",AG304="",AJ298="",AJ299="",AJ300="",AJ301="",AJ302="",AJ303="",AJ304="",AM298="",AM299="",AM300="",AM301="",AM302="",AM303="",AM304="",AK295="",AK296="")
),
"",
"A Set-Aside must be selected."
)</f>
        <v/>
      </c>
      <c r="AE294" s="602"/>
      <c r="AF294" s="602"/>
      <c r="AG294" s="602"/>
      <c r="AH294" s="602"/>
      <c r="AI294" s="602"/>
      <c r="AJ294" s="602"/>
      <c r="AK294" s="602"/>
      <c r="AL294" s="602"/>
      <c r="AM294" s="602"/>
      <c r="AN294" s="603"/>
      <c r="AO294" s="2"/>
    </row>
    <row r="295" spans="4:50" ht="15" customHeight="1" x14ac:dyDescent="0.3">
      <c r="D295" s="199"/>
      <c r="E295" s="9" t="s">
        <v>30</v>
      </c>
      <c r="F295" s="86">
        <f>F283+1</f>
        <v>22</v>
      </c>
      <c r="G295" s="9" t="s">
        <v>175</v>
      </c>
      <c r="H295" s="9"/>
      <c r="I295" s="9"/>
      <c r="J295" s="168" t="s">
        <v>111</v>
      </c>
      <c r="K295" s="148"/>
      <c r="N295" s="200"/>
      <c r="R295" s="596" t="s">
        <v>302</v>
      </c>
      <c r="S295" s="596" t="s">
        <v>303</v>
      </c>
      <c r="T295" s="596" t="s">
        <v>304</v>
      </c>
      <c r="U295" s="596" t="s">
        <v>305</v>
      </c>
      <c r="V295" s="596" t="s">
        <v>306</v>
      </c>
      <c r="W295" s="596" t="s">
        <v>307</v>
      </c>
      <c r="X295" s="596" t="s">
        <v>308</v>
      </c>
      <c r="AA295" s="50"/>
      <c r="AD295" s="199"/>
      <c r="AE295" s="9" t="s">
        <v>30</v>
      </c>
      <c r="AF295" s="86">
        <f>AF283+1</f>
        <v>22</v>
      </c>
      <c r="AG295" s="9" t="s">
        <v>175</v>
      </c>
      <c r="AH295" s="9"/>
      <c r="AI295" s="9"/>
      <c r="AJ295" s="168" t="s">
        <v>111</v>
      </c>
      <c r="AK295" s="382"/>
      <c r="AN295" s="200"/>
      <c r="AR295" s="596" t="s">
        <v>302</v>
      </c>
      <c r="AS295" s="596" t="s">
        <v>303</v>
      </c>
      <c r="AT295" s="596" t="s">
        <v>304</v>
      </c>
      <c r="AU295" s="596" t="s">
        <v>305</v>
      </c>
      <c r="AV295" s="596" t="s">
        <v>306</v>
      </c>
      <c r="AW295" s="596" t="s">
        <v>307</v>
      </c>
      <c r="AX295" s="596" t="s">
        <v>308</v>
      </c>
    </row>
    <row r="296" spans="4:50" ht="15" customHeight="1" x14ac:dyDescent="0.3">
      <c r="D296" s="604" t="s">
        <v>31</v>
      </c>
      <c r="E296" s="594"/>
      <c r="F296" s="151"/>
      <c r="G296" s="86" t="str">
        <f>IF(F296=$P$4,$Q$4,IF(F296=$P$5,$Q$5,IF(F296=$P$6,$Q$6,IF(F296=$P$7,Q$7,IF(F296=$P$8,"","")))))</f>
        <v/>
      </c>
      <c r="H296" s="201"/>
      <c r="I296" s="201"/>
      <c r="J296" s="168" t="s">
        <v>112</v>
      </c>
      <c r="K296" s="148"/>
      <c r="N296" s="200"/>
      <c r="R296" s="596"/>
      <c r="S296" s="596"/>
      <c r="T296" s="596"/>
      <c r="U296" s="596"/>
      <c r="V296" s="596"/>
      <c r="W296" s="596"/>
      <c r="X296" s="596"/>
      <c r="AA296" s="50"/>
      <c r="AD296" s="604" t="s">
        <v>31</v>
      </c>
      <c r="AE296" s="594"/>
      <c r="AF296" s="383"/>
      <c r="AG296" s="86" t="str">
        <f>IF(AF296=$P$4,$Q$4,IF(AF296=$P$5,$Q$5,IF(AF296=$P$6,$Q$6,IF(AF296=$P$7,AQ$7,IF(AF296=$P$8,"","")))))</f>
        <v/>
      </c>
      <c r="AH296" s="201"/>
      <c r="AI296" s="201"/>
      <c r="AJ296" s="168" t="s">
        <v>112</v>
      </c>
      <c r="AK296" s="382"/>
      <c r="AN296" s="200"/>
      <c r="AR296" s="596"/>
      <c r="AS296" s="596"/>
      <c r="AT296" s="596"/>
      <c r="AU296" s="596"/>
      <c r="AV296" s="596"/>
      <c r="AW296" s="596"/>
      <c r="AX296" s="596"/>
    </row>
    <row r="297" spans="4:50" ht="15" customHeight="1" x14ac:dyDescent="0.3">
      <c r="D297" s="244"/>
      <c r="E297" s="230" t="s">
        <v>52</v>
      </c>
      <c r="F297" s="9" t="s">
        <v>32</v>
      </c>
      <c r="G297" s="9" t="s">
        <v>33</v>
      </c>
      <c r="H297" s="9"/>
      <c r="I297" s="9"/>
      <c r="J297" s="9" t="s">
        <v>34</v>
      </c>
      <c r="K297" s="9"/>
      <c r="L297" s="9"/>
      <c r="M297" s="257" t="s">
        <v>35</v>
      </c>
      <c r="N297" s="202"/>
      <c r="O297" s="9"/>
      <c r="P297" s="198" t="s">
        <v>22</v>
      </c>
      <c r="Q297" s="198"/>
      <c r="R297" s="596"/>
      <c r="S297" s="596"/>
      <c r="T297" s="596"/>
      <c r="U297" s="596"/>
      <c r="V297" s="596"/>
      <c r="W297" s="596"/>
      <c r="X297" s="596"/>
      <c r="AA297" s="50"/>
      <c r="AD297" s="244"/>
      <c r="AE297" s="230" t="s">
        <v>52</v>
      </c>
      <c r="AF297" s="9" t="s">
        <v>32</v>
      </c>
      <c r="AG297" s="9" t="s">
        <v>33</v>
      </c>
      <c r="AH297" s="9"/>
      <c r="AI297" s="9"/>
      <c r="AJ297" s="9" t="s">
        <v>34</v>
      </c>
      <c r="AK297" s="9"/>
      <c r="AL297" s="9"/>
      <c r="AM297" s="257" t="s">
        <v>35</v>
      </c>
      <c r="AN297" s="202"/>
      <c r="AO297" s="9"/>
      <c r="AP297" s="198" t="s">
        <v>22</v>
      </c>
      <c r="AQ297" s="198"/>
      <c r="AR297" s="596"/>
      <c r="AS297" s="596"/>
      <c r="AT297" s="596"/>
      <c r="AU297" s="596"/>
      <c r="AV297" s="596"/>
      <c r="AW297" s="596"/>
      <c r="AX297" s="596"/>
    </row>
    <row r="298" spans="4:50" ht="15" customHeight="1" x14ac:dyDescent="0.3">
      <c r="D298" s="244"/>
      <c r="E298" s="355" t="str">
        <f>IF(OR(M298="",M298=0,J298="",G298=""),"",
(IF(AND(F296=$P$4,M298&lt;=$R$4),$V$4,0)+IF(AND(F296=$P$5,M298&lt;=$R$5),$V$5,0)+IF(AND(F296=$P$6,M298&lt;=$R$6),$V$6,0)+IF(AND(F296=$P$7,M298&lt;=$R$7),$V$7,0))
)</f>
        <v/>
      </c>
      <c r="F298" s="153" t="s">
        <v>302</v>
      </c>
      <c r="G298" s="616"/>
      <c r="H298" s="617"/>
      <c r="I298" s="618"/>
      <c r="J298" s="616"/>
      <c r="K298" s="617"/>
      <c r="L298" s="618"/>
      <c r="M298" s="255"/>
      <c r="N298" s="256"/>
      <c r="O298" s="388"/>
      <c r="P298" s="185">
        <f t="shared" ref="P298" si="335">IF(F296="",0,1)</f>
        <v>0</v>
      </c>
      <c r="R298" s="185" t="str">
        <f t="shared" ref="R298" si="336">E298</f>
        <v/>
      </c>
      <c r="S298" s="185" t="str">
        <f t="shared" ref="S298" si="337">E299</f>
        <v/>
      </c>
      <c r="T298" s="185" t="str">
        <f t="shared" ref="T298" si="338">E300</f>
        <v/>
      </c>
      <c r="U298" s="185" t="str">
        <f t="shared" ref="U298" si="339">E301</f>
        <v/>
      </c>
      <c r="V298" s="185" t="str">
        <f t="shared" ref="V298" si="340">E302</f>
        <v/>
      </c>
      <c r="W298" s="185" t="str">
        <f t="shared" ref="W298" si="341">E303</f>
        <v/>
      </c>
      <c r="X298" s="185" t="str">
        <f t="shared" ref="X298" si="342">E304</f>
        <v/>
      </c>
      <c r="AA298" s="50"/>
      <c r="AD298" s="244"/>
      <c r="AE298" s="355" t="str">
        <f>IF(OR(AM298="",AM298=0,AJ298="",AG298=""),"",
(IF(AND(AF296=$P$4,AM298&lt;=$R$4),$V$4,0)+IF(AND(AF296=$P$5,AM298&lt;=$R$5),$V$5,0)+IF(AND(AF296=$P$6,AM298&lt;=$R$6),$V$6,0)+IF(AND(AF296=$P$7,AM298&lt;=$R$7),$V$7,0))
)</f>
        <v/>
      </c>
      <c r="AF298" s="153" t="s">
        <v>302</v>
      </c>
      <c r="AG298" s="598"/>
      <c r="AH298" s="599"/>
      <c r="AI298" s="600"/>
      <c r="AJ298" s="598"/>
      <c r="AK298" s="599"/>
      <c r="AL298" s="600"/>
      <c r="AM298" s="384"/>
      <c r="AN298" s="256"/>
      <c r="AO298" s="388"/>
      <c r="AP298" s="185">
        <f t="shared" ref="AP298" si="343">IF(AF296="",0,1)</f>
        <v>0</v>
      </c>
      <c r="AR298" s="185" t="str">
        <f t="shared" ref="AR298" si="344">AE298</f>
        <v/>
      </c>
      <c r="AS298" s="185" t="str">
        <f t="shared" ref="AS298" si="345">AE299</f>
        <v/>
      </c>
      <c r="AT298" s="185" t="str">
        <f t="shared" ref="AT298" si="346">AE300</f>
        <v/>
      </c>
      <c r="AU298" s="185" t="str">
        <f t="shared" ref="AU298" si="347">AE301</f>
        <v/>
      </c>
      <c r="AV298" s="185" t="str">
        <f t="shared" ref="AV298" si="348">AE302</f>
        <v/>
      </c>
      <c r="AW298" s="185" t="str">
        <f t="shared" ref="AW298" si="349">AE303</f>
        <v/>
      </c>
      <c r="AX298" s="185" t="str">
        <f t="shared" ref="AX298" si="350">AE304</f>
        <v/>
      </c>
    </row>
    <row r="299" spans="4:50" ht="15" customHeight="1" x14ac:dyDescent="0.3">
      <c r="D299" s="244"/>
      <c r="E299" s="341" t="str">
        <f>IF(OR(M299="",M299=0,J299="",G299=""),"",
(IF(AND(F296=$P$4,M299&lt;=$R$4),$V$4,0)+IF(AND(F296=$P$5,M299&lt;=$R$5),$V$5,0)+IF(AND(F296=$P$6,M299&lt;=$R$6),$V$6,0)+IF(AND(F296=$P$7,M299&lt;=$R$7),$V$7,0))
)</f>
        <v/>
      </c>
      <c r="F299" s="153" t="s">
        <v>303</v>
      </c>
      <c r="G299" s="616"/>
      <c r="H299" s="617"/>
      <c r="I299" s="618"/>
      <c r="J299" s="616"/>
      <c r="K299" s="617"/>
      <c r="L299" s="618"/>
      <c r="M299" s="255"/>
      <c r="N299" s="256"/>
      <c r="O299" s="388"/>
      <c r="AA299" s="50"/>
      <c r="AD299" s="244"/>
      <c r="AE299" s="341" t="str">
        <f>IF(OR(AM299="",AM299=0,AJ299="",AG299=""),"",
(IF(AND(AF296=$P$4,AM299&lt;=$R$4),$V$4,0)+IF(AND(AF296=$P$5,AM299&lt;=$R$5),$V$5,0)+IF(AND(AF296=$P$6,AM299&lt;=$R$6),$V$6,0)+IF(AND(AF296=$P$7,AM299&lt;=$R$7),$V$7,0))
)</f>
        <v/>
      </c>
      <c r="AF299" s="153" t="s">
        <v>303</v>
      </c>
      <c r="AG299" s="598"/>
      <c r="AH299" s="599"/>
      <c r="AI299" s="600"/>
      <c r="AJ299" s="598"/>
      <c r="AK299" s="599"/>
      <c r="AL299" s="600"/>
      <c r="AM299" s="384"/>
      <c r="AN299" s="256"/>
      <c r="AO299" s="388"/>
    </row>
    <row r="300" spans="4:50" x14ac:dyDescent="0.3">
      <c r="D300" s="244"/>
      <c r="E300" s="341" t="str">
        <f>IF(OR(M300="",M300=0,J300="",G300=""),"",
(IF(AND(F296=$P$4,M300&lt;=$R$4),$V$4,0)+IF(AND(F296=$P$5,M300&lt;=$R$5),$V$5,0)+IF(AND(F296=$P$6,M300&lt;=$R$6),$V$6,0)+IF(AND(F296=$P$7,M300&lt;=$R$7),$V$7,0))
)</f>
        <v/>
      </c>
      <c r="F300" s="153" t="s">
        <v>304</v>
      </c>
      <c r="G300" s="616"/>
      <c r="H300" s="617"/>
      <c r="I300" s="618"/>
      <c r="J300" s="616"/>
      <c r="K300" s="617"/>
      <c r="L300" s="618"/>
      <c r="M300" s="255"/>
      <c r="N300" s="256"/>
      <c r="O300" s="388"/>
      <c r="AA300" s="50"/>
      <c r="AD300" s="244"/>
      <c r="AE300" s="341" t="str">
        <f>IF(OR(AM300="",AM300=0,AJ300="",AG300=""),"",
(IF(AND(AF296=$P$4,AM300&lt;=$R$4),$V$4,0)+IF(AND(AF296=$P$5,AM300&lt;=$R$5),$V$5,0)+IF(AND(AF296=$P$6,AM300&lt;=$R$6),$V$6,0)+IF(AND(AF296=$P$7,AM300&lt;=$R$7),$V$7,0))
)</f>
        <v/>
      </c>
      <c r="AF300" s="153" t="s">
        <v>304</v>
      </c>
      <c r="AG300" s="598"/>
      <c r="AH300" s="599"/>
      <c r="AI300" s="600"/>
      <c r="AJ300" s="598"/>
      <c r="AK300" s="599"/>
      <c r="AL300" s="600"/>
      <c r="AM300" s="384"/>
      <c r="AN300" s="256"/>
      <c r="AO300" s="388"/>
    </row>
    <row r="301" spans="4:50" x14ac:dyDescent="0.3">
      <c r="D301" s="244"/>
      <c r="E301" s="341" t="str">
        <f>IF(OR(M301="",M301=0,J301="",G301=""),"",
(IF(AND(F296=$P$4,M301&lt;=$R$4),$V$4,0)+IF(AND(F296=$P$5,M301&lt;=$R$5),$V$5,0)+IF(AND(F296=$P$6,M301&lt;=$R$6),$V$6,0)+IF(AND(F296=$P$7,M301&lt;=$R$7),$V$7,0))
)</f>
        <v/>
      </c>
      <c r="F301" s="153" t="s">
        <v>305</v>
      </c>
      <c r="G301" s="616"/>
      <c r="H301" s="617"/>
      <c r="I301" s="618"/>
      <c r="J301" s="616"/>
      <c r="K301" s="617"/>
      <c r="L301" s="618"/>
      <c r="M301" s="255"/>
      <c r="N301" s="256"/>
      <c r="O301" s="388"/>
      <c r="AA301" s="50"/>
      <c r="AD301" s="244"/>
      <c r="AE301" s="341" t="str">
        <f>IF(OR(AM301="",AM301=0,AJ301="",AG301=""),"",
(IF(AND(AF296=$P$4,AM301&lt;=$R$4),$V$4,0)+IF(AND(AF296=$P$5,AM301&lt;=$R$5),$V$5,0)+IF(AND(AF296=$P$6,AM301&lt;=$R$6),$V$6,0)+IF(AND(AF296=$P$7,AM301&lt;=$R$7),$V$7,0))
)</f>
        <v/>
      </c>
      <c r="AF301" s="153" t="s">
        <v>305</v>
      </c>
      <c r="AG301" s="598"/>
      <c r="AH301" s="599"/>
      <c r="AI301" s="600"/>
      <c r="AJ301" s="598"/>
      <c r="AK301" s="599"/>
      <c r="AL301" s="600"/>
      <c r="AM301" s="384"/>
      <c r="AN301" s="256"/>
      <c r="AO301" s="388"/>
    </row>
    <row r="302" spans="4:50" x14ac:dyDescent="0.3">
      <c r="D302" s="244"/>
      <c r="E302" s="341" t="str">
        <f>IF(OR(M302="",M302=0,J302="",G302=""),"",
(IF(AND(F296=$P$4,M302&lt;=$R$4),$V$4,0)+IF(AND(F296=$P$5,M302&lt;=$R$5),$V$5,0)+IF(AND(F296=$P$6,M302&lt;=$R$6),$V$6,0)+IF(AND(F296=$P$7,M302&lt;=$R$7),$V$7,0))
)</f>
        <v/>
      </c>
      <c r="F302" s="153" t="s">
        <v>306</v>
      </c>
      <c r="G302" s="616"/>
      <c r="H302" s="617"/>
      <c r="I302" s="618"/>
      <c r="J302" s="616"/>
      <c r="K302" s="617"/>
      <c r="L302" s="618"/>
      <c r="M302" s="255"/>
      <c r="N302" s="256"/>
      <c r="O302" s="388"/>
      <c r="AA302" s="50"/>
      <c r="AD302" s="244"/>
      <c r="AE302" s="341" t="str">
        <f>IF(OR(AM302="",AM302=0,AJ302="",AG302=""),"",
(IF(AND(AF296=$P$4,AM302&lt;=$R$4),$V$4,0)+IF(AND(AF296=$P$5,AM302&lt;=$R$5),$V$5,0)+IF(AND(AF296=$P$6,AM302&lt;=$R$6),$V$6,0)+IF(AND(AF296=$P$7,AM302&lt;=$R$7),$V$7,0))
)</f>
        <v/>
      </c>
      <c r="AF302" s="153" t="s">
        <v>306</v>
      </c>
      <c r="AG302" s="598"/>
      <c r="AH302" s="599"/>
      <c r="AI302" s="600"/>
      <c r="AJ302" s="598"/>
      <c r="AK302" s="599"/>
      <c r="AL302" s="600"/>
      <c r="AM302" s="384"/>
      <c r="AN302" s="256"/>
      <c r="AO302" s="388"/>
    </row>
    <row r="303" spans="4:50" x14ac:dyDescent="0.3">
      <c r="D303" s="244"/>
      <c r="E303" s="341" t="str">
        <f>IF(OR(M303="",M303=0,J303="",G303=""),"",
(IF(AND(F296=$P$4,M303&lt;=$R$4),$V$4,0)+IF(AND(F296=$P$5,M303&lt;=$R$5),$V$5,0)+IF(AND(F296=$P$6,M303&lt;=$R$6),$V$6,0)+IF(AND(F296=$P$7,M303&lt;=$R$7),$V$7,0))
)</f>
        <v/>
      </c>
      <c r="F303" s="153" t="s">
        <v>307</v>
      </c>
      <c r="G303" s="616"/>
      <c r="H303" s="617"/>
      <c r="I303" s="618"/>
      <c r="J303" s="616"/>
      <c r="K303" s="617"/>
      <c r="L303" s="618"/>
      <c r="M303" s="255"/>
      <c r="N303" s="256"/>
      <c r="O303" s="388"/>
      <c r="AA303" s="50"/>
      <c r="AD303" s="244"/>
      <c r="AE303" s="341" t="str">
        <f>IF(OR(AM303="",AM303=0,AJ303="",AG303=""),"",
(IF(AND(AF296=$P$4,AM303&lt;=$R$4),$V$4,0)+IF(AND(AF296=$P$5,AM303&lt;=$R$5),$V$5,0)+IF(AND(AF296=$P$6,AM303&lt;=$R$6),$V$6,0)+IF(AND(AF296=$P$7,AM303&lt;=$R$7),$V$7,0))
)</f>
        <v/>
      </c>
      <c r="AF303" s="153" t="s">
        <v>307</v>
      </c>
      <c r="AG303" s="598"/>
      <c r="AH303" s="599"/>
      <c r="AI303" s="600"/>
      <c r="AJ303" s="598"/>
      <c r="AK303" s="599"/>
      <c r="AL303" s="600"/>
      <c r="AM303" s="384"/>
      <c r="AN303" s="256"/>
      <c r="AO303" s="388"/>
    </row>
    <row r="304" spans="4:50" x14ac:dyDescent="0.3">
      <c r="D304" s="244"/>
      <c r="E304" s="341" t="str">
        <f>IF(OR(M304="",M304=0,J304="",G304=""),"",
(IF(AND(F296=$P$4,M304&lt;=$R$4),$V$4,0)+IF(AND(F296=$P$5,M304&lt;=$R$5),$V$5,0)+IF(AND(F296=$P$6,M304&lt;=$R$6),$V$6,0)+IF(AND(F296=$P$7,M304&lt;=$R$7),$V$7,0))
)</f>
        <v/>
      </c>
      <c r="F304" s="153" t="s">
        <v>308</v>
      </c>
      <c r="G304" s="616"/>
      <c r="H304" s="617"/>
      <c r="I304" s="618"/>
      <c r="J304" s="616"/>
      <c r="K304" s="617"/>
      <c r="L304" s="618"/>
      <c r="M304" s="255"/>
      <c r="N304" s="256"/>
      <c r="O304" s="388"/>
      <c r="AA304" s="50"/>
      <c r="AD304" s="244"/>
      <c r="AE304" s="341" t="str">
        <f>IF(OR(AM304="",AM304=0,AJ304="",AG304=""),"",
(IF(AND(AF296=$P$4,AM304&lt;=$R$4),$V$4,0)+IF(AND(AF296=$P$5,AM304&lt;=$R$5),$V$5,0)+IF(AND(AF296=$P$6,AM304&lt;=$R$6),$V$6,0)+IF(AND(AF296=$P$7,AM304&lt;=$R$7),$V$7,0))
)</f>
        <v/>
      </c>
      <c r="AF304" s="153" t="s">
        <v>308</v>
      </c>
      <c r="AG304" s="598"/>
      <c r="AH304" s="599"/>
      <c r="AI304" s="600"/>
      <c r="AJ304" s="598"/>
      <c r="AK304" s="599"/>
      <c r="AL304" s="600"/>
      <c r="AM304" s="384"/>
      <c r="AN304" s="256"/>
      <c r="AO304" s="388"/>
    </row>
    <row r="305" spans="4:50" ht="15" customHeight="1" thickBot="1" x14ac:dyDescent="0.35">
      <c r="D305" s="203"/>
      <c r="E305" s="3"/>
      <c r="F305" s="3"/>
      <c r="G305" s="3"/>
      <c r="H305" s="3"/>
      <c r="I305" s="3"/>
      <c r="J305" s="3"/>
      <c r="K305" s="3"/>
      <c r="L305" s="3"/>
      <c r="M305" s="3"/>
      <c r="N305" s="204"/>
      <c r="P305" s="2"/>
      <c r="AA305" s="50"/>
      <c r="AD305" s="203"/>
      <c r="AE305" s="3"/>
      <c r="AF305" s="3"/>
      <c r="AG305" s="3"/>
      <c r="AH305" s="3"/>
      <c r="AI305" s="3"/>
      <c r="AJ305" s="3"/>
      <c r="AK305" s="3"/>
      <c r="AL305" s="3"/>
      <c r="AM305" s="3"/>
      <c r="AN305" s="204"/>
      <c r="AP305" s="2"/>
    </row>
    <row r="306" spans="4:50" ht="15" customHeight="1" x14ac:dyDescent="0.3">
      <c r="D306" s="601" t="str">
        <f>IF(
OR(
OR(F308=$P$4,F308=$P$5,F308=$P$6,F308=$P$7),AND(G310="",G311="",G312="",G313="",G314="",G315="",G316="",J310="",J311="",J312="",J313="",J314="",J315="",J316="",M310="",M311="",M312="",M313="",M314="",M315="",M316="",K307="",K308="")
),
"",
"A Set-Aside must be selected."
)</f>
        <v/>
      </c>
      <c r="E306" s="602"/>
      <c r="F306" s="602"/>
      <c r="G306" s="602"/>
      <c r="H306" s="602"/>
      <c r="I306" s="602"/>
      <c r="J306" s="602"/>
      <c r="K306" s="602"/>
      <c r="L306" s="602"/>
      <c r="M306" s="602"/>
      <c r="N306" s="603"/>
      <c r="O306" s="2"/>
      <c r="AA306" s="50"/>
      <c r="AD306" s="601" t="str">
        <f>IF(
OR(
OR(AF308=$P$4,AF308=$P$5,AF308=$P$6,AF308=$P$7),AND(AG310="",AG311="",AG312="",AG313="",AG314="",AG315="",AG316="",AJ310="",AJ311="",AJ312="",AJ313="",AJ314="",AJ315="",AJ316="",AM310="",AM311="",AM312="",AM313="",AM314="",AM315="",AM316="",AK307="",AK308="")
),
"",
"A Set-Aside must be selected."
)</f>
        <v/>
      </c>
      <c r="AE306" s="602"/>
      <c r="AF306" s="602"/>
      <c r="AG306" s="602"/>
      <c r="AH306" s="602"/>
      <c r="AI306" s="602"/>
      <c r="AJ306" s="602"/>
      <c r="AK306" s="602"/>
      <c r="AL306" s="602"/>
      <c r="AM306" s="602"/>
      <c r="AN306" s="603"/>
      <c r="AO306" s="2"/>
    </row>
    <row r="307" spans="4:50" ht="15" customHeight="1" x14ac:dyDescent="0.3">
      <c r="D307" s="199"/>
      <c r="E307" s="9" t="s">
        <v>30</v>
      </c>
      <c r="F307" s="86">
        <f>F295+1</f>
        <v>23</v>
      </c>
      <c r="G307" s="9" t="s">
        <v>175</v>
      </c>
      <c r="H307" s="9"/>
      <c r="I307" s="9"/>
      <c r="J307" s="168" t="s">
        <v>111</v>
      </c>
      <c r="K307" s="148"/>
      <c r="N307" s="200"/>
      <c r="R307" s="596" t="s">
        <v>302</v>
      </c>
      <c r="S307" s="596" t="s">
        <v>303</v>
      </c>
      <c r="T307" s="596" t="s">
        <v>304</v>
      </c>
      <c r="U307" s="596" t="s">
        <v>305</v>
      </c>
      <c r="V307" s="596" t="s">
        <v>306</v>
      </c>
      <c r="W307" s="596" t="s">
        <v>307</v>
      </c>
      <c r="X307" s="596" t="s">
        <v>308</v>
      </c>
      <c r="AA307" s="50"/>
      <c r="AD307" s="199"/>
      <c r="AE307" s="9" t="s">
        <v>30</v>
      </c>
      <c r="AF307" s="86">
        <f>AF295+1</f>
        <v>23</v>
      </c>
      <c r="AG307" s="9" t="s">
        <v>175</v>
      </c>
      <c r="AH307" s="9"/>
      <c r="AI307" s="9"/>
      <c r="AJ307" s="168" t="s">
        <v>111</v>
      </c>
      <c r="AK307" s="382"/>
      <c r="AN307" s="200"/>
      <c r="AR307" s="596" t="s">
        <v>302</v>
      </c>
      <c r="AS307" s="596" t="s">
        <v>303</v>
      </c>
      <c r="AT307" s="596" t="s">
        <v>304</v>
      </c>
      <c r="AU307" s="596" t="s">
        <v>305</v>
      </c>
      <c r="AV307" s="596" t="s">
        <v>306</v>
      </c>
      <c r="AW307" s="596" t="s">
        <v>307</v>
      </c>
      <c r="AX307" s="596" t="s">
        <v>308</v>
      </c>
    </row>
    <row r="308" spans="4:50" ht="15" customHeight="1" x14ac:dyDescent="0.3">
      <c r="D308" s="604" t="s">
        <v>31</v>
      </c>
      <c r="E308" s="594"/>
      <c r="F308" s="151"/>
      <c r="G308" s="86" t="str">
        <f>IF(F308=$P$4,$Q$4,IF(F308=$P$5,$Q$5,IF(F308=$P$6,$Q$6,IF(F308=$P$7,Q$7,IF(F308=$P$8,"","")))))</f>
        <v/>
      </c>
      <c r="H308" s="201"/>
      <c r="I308" s="201"/>
      <c r="J308" s="168" t="s">
        <v>112</v>
      </c>
      <c r="K308" s="148"/>
      <c r="N308" s="200"/>
      <c r="R308" s="596"/>
      <c r="S308" s="596"/>
      <c r="T308" s="596"/>
      <c r="U308" s="596"/>
      <c r="V308" s="596"/>
      <c r="W308" s="596"/>
      <c r="X308" s="596"/>
      <c r="AA308" s="50"/>
      <c r="AD308" s="604" t="s">
        <v>31</v>
      </c>
      <c r="AE308" s="594"/>
      <c r="AF308" s="383"/>
      <c r="AG308" s="86" t="str">
        <f>IF(AF308=$P$4,$Q$4,IF(AF308=$P$5,$Q$5,IF(AF308=$P$6,$Q$6,IF(AF308=$P$7,AQ$7,IF(AF308=$P$8,"","")))))</f>
        <v/>
      </c>
      <c r="AH308" s="201"/>
      <c r="AI308" s="201"/>
      <c r="AJ308" s="168" t="s">
        <v>112</v>
      </c>
      <c r="AK308" s="382"/>
      <c r="AN308" s="200"/>
      <c r="AR308" s="596"/>
      <c r="AS308" s="596"/>
      <c r="AT308" s="596"/>
      <c r="AU308" s="596"/>
      <c r="AV308" s="596"/>
      <c r="AW308" s="596"/>
      <c r="AX308" s="596"/>
    </row>
    <row r="309" spans="4:50" ht="15" customHeight="1" x14ac:dyDescent="0.3">
      <c r="D309" s="244"/>
      <c r="E309" s="230" t="s">
        <v>52</v>
      </c>
      <c r="F309" s="9" t="s">
        <v>32</v>
      </c>
      <c r="G309" s="9" t="s">
        <v>33</v>
      </c>
      <c r="H309" s="9"/>
      <c r="I309" s="9"/>
      <c r="J309" s="9" t="s">
        <v>34</v>
      </c>
      <c r="K309" s="9"/>
      <c r="L309" s="9"/>
      <c r="M309" s="257" t="s">
        <v>35</v>
      </c>
      <c r="N309" s="202"/>
      <c r="O309" s="9"/>
      <c r="P309" s="198" t="s">
        <v>22</v>
      </c>
      <c r="Q309" s="198"/>
      <c r="R309" s="596"/>
      <c r="S309" s="596"/>
      <c r="T309" s="596"/>
      <c r="U309" s="596"/>
      <c r="V309" s="596"/>
      <c r="W309" s="596"/>
      <c r="X309" s="596"/>
      <c r="AA309" s="50"/>
      <c r="AD309" s="244"/>
      <c r="AE309" s="230" t="s">
        <v>52</v>
      </c>
      <c r="AF309" s="9" t="s">
        <v>32</v>
      </c>
      <c r="AG309" s="9" t="s">
        <v>33</v>
      </c>
      <c r="AH309" s="9"/>
      <c r="AI309" s="9"/>
      <c r="AJ309" s="9" t="s">
        <v>34</v>
      </c>
      <c r="AK309" s="9"/>
      <c r="AL309" s="9"/>
      <c r="AM309" s="257" t="s">
        <v>35</v>
      </c>
      <c r="AN309" s="202"/>
      <c r="AO309" s="9"/>
      <c r="AP309" s="198" t="s">
        <v>22</v>
      </c>
      <c r="AQ309" s="198"/>
      <c r="AR309" s="596"/>
      <c r="AS309" s="596"/>
      <c r="AT309" s="596"/>
      <c r="AU309" s="596"/>
      <c r="AV309" s="596"/>
      <c r="AW309" s="596"/>
      <c r="AX309" s="596"/>
    </row>
    <row r="310" spans="4:50" x14ac:dyDescent="0.3">
      <c r="D310" s="244"/>
      <c r="E310" s="355" t="str">
        <f>IF(OR(M310="",M310=0,J310="",G310=""),"",
(IF(AND(F308=$P$4,M310&lt;=$R$4),$V$4,0)+IF(AND(F308=$P$5,M310&lt;=$R$5),$V$5,0)+IF(AND(F308=$P$6,M310&lt;=$R$6),$V$6,0)+IF(AND(F308=$P$7,M310&lt;=$R$7),$V$7,0))
)</f>
        <v/>
      </c>
      <c r="F310" s="153" t="s">
        <v>302</v>
      </c>
      <c r="G310" s="616"/>
      <c r="H310" s="617"/>
      <c r="I310" s="618"/>
      <c r="J310" s="616"/>
      <c r="K310" s="617"/>
      <c r="L310" s="618"/>
      <c r="M310" s="255"/>
      <c r="N310" s="256"/>
      <c r="O310" s="388"/>
      <c r="P310" s="185">
        <f t="shared" ref="P310" si="351">IF(F308="",0,1)</f>
        <v>0</v>
      </c>
      <c r="R310" s="185" t="str">
        <f t="shared" ref="R310" si="352">E310</f>
        <v/>
      </c>
      <c r="S310" s="185" t="str">
        <f t="shared" ref="S310" si="353">E311</f>
        <v/>
      </c>
      <c r="T310" s="185" t="str">
        <f t="shared" ref="T310" si="354">E312</f>
        <v/>
      </c>
      <c r="U310" s="185" t="str">
        <f t="shared" ref="U310" si="355">E313</f>
        <v/>
      </c>
      <c r="V310" s="185" t="str">
        <f t="shared" ref="V310" si="356">E314</f>
        <v/>
      </c>
      <c r="W310" s="185" t="str">
        <f t="shared" ref="W310" si="357">E315</f>
        <v/>
      </c>
      <c r="X310" s="185" t="str">
        <f t="shared" ref="X310" si="358">E316</f>
        <v/>
      </c>
      <c r="AA310" s="50"/>
      <c r="AD310" s="244"/>
      <c r="AE310" s="355" t="str">
        <f>IF(OR(AM310="",AM310=0,AJ310="",AG310=""),"",
(IF(AND(AF308=$P$4,AM310&lt;=$R$4),$V$4,0)+IF(AND(AF308=$P$5,AM310&lt;=$R$5),$V$5,0)+IF(AND(AF308=$P$6,AM310&lt;=$R$6),$V$6,0)+IF(AND(AF308=$P$7,AM310&lt;=$R$7),$V$7,0))
)</f>
        <v/>
      </c>
      <c r="AF310" s="153" t="s">
        <v>302</v>
      </c>
      <c r="AG310" s="598"/>
      <c r="AH310" s="599"/>
      <c r="AI310" s="600"/>
      <c r="AJ310" s="598"/>
      <c r="AK310" s="599"/>
      <c r="AL310" s="600"/>
      <c r="AM310" s="384"/>
      <c r="AN310" s="256"/>
      <c r="AO310" s="388"/>
      <c r="AP310" s="185">
        <f t="shared" ref="AP310" si="359">IF(AF308="",0,1)</f>
        <v>0</v>
      </c>
      <c r="AR310" s="185" t="str">
        <f t="shared" ref="AR310" si="360">AE310</f>
        <v/>
      </c>
      <c r="AS310" s="185" t="str">
        <f t="shared" ref="AS310" si="361">AE311</f>
        <v/>
      </c>
      <c r="AT310" s="185" t="str">
        <f t="shared" ref="AT310" si="362">AE312</f>
        <v/>
      </c>
      <c r="AU310" s="185" t="str">
        <f t="shared" ref="AU310" si="363">AE313</f>
        <v/>
      </c>
      <c r="AV310" s="185" t="str">
        <f t="shared" ref="AV310" si="364">AE314</f>
        <v/>
      </c>
      <c r="AW310" s="185" t="str">
        <f t="shared" ref="AW310" si="365">AE315</f>
        <v/>
      </c>
      <c r="AX310" s="185" t="str">
        <f t="shared" ref="AX310" si="366">AE316</f>
        <v/>
      </c>
    </row>
    <row r="311" spans="4:50" x14ac:dyDescent="0.3">
      <c r="D311" s="244"/>
      <c r="E311" s="341" t="str">
        <f>IF(OR(M311="",M311=0,J311="",G311=""),"",
(IF(AND(F308=$P$4,M311&lt;=$R$4),$V$4,0)+IF(AND(F308=$P$5,M311&lt;=$R$5),$V$5,0)+IF(AND(F308=$P$6,M311&lt;=$R$6),$V$6,0)+IF(AND(F308=$P$7,M311&lt;=$R$7),$V$7,0))
)</f>
        <v/>
      </c>
      <c r="F311" s="153" t="s">
        <v>303</v>
      </c>
      <c r="G311" s="616"/>
      <c r="H311" s="617"/>
      <c r="I311" s="618"/>
      <c r="J311" s="616"/>
      <c r="K311" s="617"/>
      <c r="L311" s="618"/>
      <c r="M311" s="255"/>
      <c r="N311" s="256"/>
      <c r="O311" s="388"/>
      <c r="AA311" s="50"/>
      <c r="AD311" s="244"/>
      <c r="AE311" s="341" t="str">
        <f>IF(OR(AM311="",AM311=0,AJ311="",AG311=""),"",
(IF(AND(AF308=$P$4,AM311&lt;=$R$4),$V$4,0)+IF(AND(AF308=$P$5,AM311&lt;=$R$5),$V$5,0)+IF(AND(AF308=$P$6,AM311&lt;=$R$6),$V$6,0)+IF(AND(AF308=$P$7,AM311&lt;=$R$7),$V$7,0))
)</f>
        <v/>
      </c>
      <c r="AF311" s="153" t="s">
        <v>303</v>
      </c>
      <c r="AG311" s="598"/>
      <c r="AH311" s="599"/>
      <c r="AI311" s="600"/>
      <c r="AJ311" s="598"/>
      <c r="AK311" s="599"/>
      <c r="AL311" s="600"/>
      <c r="AM311" s="384"/>
      <c r="AN311" s="256"/>
      <c r="AO311" s="388"/>
    </row>
    <row r="312" spans="4:50" x14ac:dyDescent="0.3">
      <c r="D312" s="244"/>
      <c r="E312" s="341" t="str">
        <f>IF(OR(M312="",M312=0,J312="",G312=""),"",
(IF(AND(F308=$P$4,M312&lt;=$R$4),$V$4,0)+IF(AND(F308=$P$5,M312&lt;=$R$5),$V$5,0)+IF(AND(F308=$P$6,M312&lt;=$R$6),$V$6,0)+IF(AND(F308=$P$7,M312&lt;=$R$7),$V$7,0))
)</f>
        <v/>
      </c>
      <c r="F312" s="153" t="s">
        <v>304</v>
      </c>
      <c r="G312" s="616"/>
      <c r="H312" s="617"/>
      <c r="I312" s="618"/>
      <c r="J312" s="616"/>
      <c r="K312" s="617"/>
      <c r="L312" s="618"/>
      <c r="M312" s="255"/>
      <c r="N312" s="256"/>
      <c r="O312" s="388"/>
      <c r="AA312" s="50"/>
      <c r="AD312" s="244"/>
      <c r="AE312" s="341" t="str">
        <f>IF(OR(AM312="",AM312=0,AJ312="",AG312=""),"",
(IF(AND(AF308=$P$4,AM312&lt;=$R$4),$V$4,0)+IF(AND(AF308=$P$5,AM312&lt;=$R$5),$V$5,0)+IF(AND(AF308=$P$6,AM312&lt;=$R$6),$V$6,0)+IF(AND(AF308=$P$7,AM312&lt;=$R$7),$V$7,0))
)</f>
        <v/>
      </c>
      <c r="AF312" s="153" t="s">
        <v>304</v>
      </c>
      <c r="AG312" s="598"/>
      <c r="AH312" s="599"/>
      <c r="AI312" s="600"/>
      <c r="AJ312" s="598"/>
      <c r="AK312" s="599"/>
      <c r="AL312" s="600"/>
      <c r="AM312" s="384"/>
      <c r="AN312" s="256"/>
      <c r="AO312" s="388"/>
    </row>
    <row r="313" spans="4:50" x14ac:dyDescent="0.3">
      <c r="D313" s="244"/>
      <c r="E313" s="341" t="str">
        <f>IF(OR(M313="",M313=0,J313="",G313=""),"",
(IF(AND(F308=$P$4,M313&lt;=$R$4),$V$4,0)+IF(AND(F308=$P$5,M313&lt;=$R$5),$V$5,0)+IF(AND(F308=$P$6,M313&lt;=$R$6),$V$6,0)+IF(AND(F308=$P$7,M313&lt;=$R$7),$V$7,0))
)</f>
        <v/>
      </c>
      <c r="F313" s="153" t="s">
        <v>305</v>
      </c>
      <c r="G313" s="616"/>
      <c r="H313" s="617"/>
      <c r="I313" s="618"/>
      <c r="J313" s="616"/>
      <c r="K313" s="617"/>
      <c r="L313" s="618"/>
      <c r="M313" s="255"/>
      <c r="N313" s="256"/>
      <c r="O313" s="388"/>
      <c r="AA313" s="50"/>
      <c r="AD313" s="244"/>
      <c r="AE313" s="341" t="str">
        <f>IF(OR(AM313="",AM313=0,AJ313="",AG313=""),"",
(IF(AND(AF308=$P$4,AM313&lt;=$R$4),$V$4,0)+IF(AND(AF308=$P$5,AM313&lt;=$R$5),$V$5,0)+IF(AND(AF308=$P$6,AM313&lt;=$R$6),$V$6,0)+IF(AND(AF308=$P$7,AM313&lt;=$R$7),$V$7,0))
)</f>
        <v/>
      </c>
      <c r="AF313" s="153" t="s">
        <v>305</v>
      </c>
      <c r="AG313" s="598"/>
      <c r="AH313" s="599"/>
      <c r="AI313" s="600"/>
      <c r="AJ313" s="598"/>
      <c r="AK313" s="599"/>
      <c r="AL313" s="600"/>
      <c r="AM313" s="384"/>
      <c r="AN313" s="256"/>
      <c r="AO313" s="388"/>
    </row>
    <row r="314" spans="4:50" x14ac:dyDescent="0.3">
      <c r="D314" s="244"/>
      <c r="E314" s="341" t="str">
        <f>IF(OR(M314="",M314=0,J314="",G314=""),"",
(IF(AND(F308=$P$4,M314&lt;=$R$4),$V$4,0)+IF(AND(F308=$P$5,M314&lt;=$R$5),$V$5,0)+IF(AND(F308=$P$6,M314&lt;=$R$6),$V$6,0)+IF(AND(F308=$P$7,M314&lt;=$R$7),$V$7,0))
)</f>
        <v/>
      </c>
      <c r="F314" s="153" t="s">
        <v>306</v>
      </c>
      <c r="G314" s="616"/>
      <c r="H314" s="617"/>
      <c r="I314" s="618"/>
      <c r="J314" s="616"/>
      <c r="K314" s="617"/>
      <c r="L314" s="618"/>
      <c r="M314" s="255"/>
      <c r="N314" s="256"/>
      <c r="O314" s="388"/>
      <c r="AA314" s="50"/>
      <c r="AD314" s="244"/>
      <c r="AE314" s="341" t="str">
        <f>IF(OR(AM314="",AM314=0,AJ314="",AG314=""),"",
(IF(AND(AF308=$P$4,AM314&lt;=$R$4),$V$4,0)+IF(AND(AF308=$P$5,AM314&lt;=$R$5),$V$5,0)+IF(AND(AF308=$P$6,AM314&lt;=$R$6),$V$6,0)+IF(AND(AF308=$P$7,AM314&lt;=$R$7),$V$7,0))
)</f>
        <v/>
      </c>
      <c r="AF314" s="153" t="s">
        <v>306</v>
      </c>
      <c r="AG314" s="598"/>
      <c r="AH314" s="599"/>
      <c r="AI314" s="600"/>
      <c r="AJ314" s="598"/>
      <c r="AK314" s="599"/>
      <c r="AL314" s="600"/>
      <c r="AM314" s="384"/>
      <c r="AN314" s="256"/>
      <c r="AO314" s="388"/>
    </row>
    <row r="315" spans="4:50" ht="15" customHeight="1" x14ac:dyDescent="0.3">
      <c r="D315" s="244"/>
      <c r="E315" s="341" t="str">
        <f>IF(OR(M315="",M315=0,J315="",G315=""),"",
(IF(AND(F308=$P$4,M315&lt;=$R$4),$V$4,0)+IF(AND(F308=$P$5,M315&lt;=$R$5),$V$5,0)+IF(AND(F308=$P$6,M315&lt;=$R$6),$V$6,0)+IF(AND(F308=$P$7,M315&lt;=$R$7),$V$7,0))
)</f>
        <v/>
      </c>
      <c r="F315" s="153" t="s">
        <v>307</v>
      </c>
      <c r="G315" s="616"/>
      <c r="H315" s="617"/>
      <c r="I315" s="618"/>
      <c r="J315" s="616"/>
      <c r="K315" s="617"/>
      <c r="L315" s="618"/>
      <c r="M315" s="255"/>
      <c r="N315" s="256"/>
      <c r="O315" s="388"/>
      <c r="AA315" s="50"/>
      <c r="AD315" s="244"/>
      <c r="AE315" s="341" t="str">
        <f>IF(OR(AM315="",AM315=0,AJ315="",AG315=""),"",
(IF(AND(AF308=$P$4,AM315&lt;=$R$4),$V$4,0)+IF(AND(AF308=$P$5,AM315&lt;=$R$5),$V$5,0)+IF(AND(AF308=$P$6,AM315&lt;=$R$6),$V$6,0)+IF(AND(AF308=$P$7,AM315&lt;=$R$7),$V$7,0))
)</f>
        <v/>
      </c>
      <c r="AF315" s="153" t="s">
        <v>307</v>
      </c>
      <c r="AG315" s="598"/>
      <c r="AH315" s="599"/>
      <c r="AI315" s="600"/>
      <c r="AJ315" s="598"/>
      <c r="AK315" s="599"/>
      <c r="AL315" s="600"/>
      <c r="AM315" s="384"/>
      <c r="AN315" s="256"/>
      <c r="AO315" s="388"/>
    </row>
    <row r="316" spans="4:50" ht="15" customHeight="1" x14ac:dyDescent="0.3">
      <c r="D316" s="244"/>
      <c r="E316" s="341" t="str">
        <f>IF(OR(M316="",M316=0,J316="",G316=""),"",
(IF(AND(F308=$P$4,M316&lt;=$R$4),$V$4,0)+IF(AND(F308=$P$5,M316&lt;=$R$5),$V$5,0)+IF(AND(F308=$P$6,M316&lt;=$R$6),$V$6,0)+IF(AND(F308=$P$7,M316&lt;=$R$7),$V$7,0))
)</f>
        <v/>
      </c>
      <c r="F316" s="153" t="s">
        <v>308</v>
      </c>
      <c r="G316" s="616"/>
      <c r="H316" s="617"/>
      <c r="I316" s="618"/>
      <c r="J316" s="616"/>
      <c r="K316" s="617"/>
      <c r="L316" s="618"/>
      <c r="M316" s="255"/>
      <c r="N316" s="256"/>
      <c r="O316" s="388"/>
      <c r="AA316" s="50"/>
      <c r="AD316" s="244"/>
      <c r="AE316" s="341" t="str">
        <f>IF(OR(AM316="",AM316=0,AJ316="",AG316=""),"",
(IF(AND(AF308=$P$4,AM316&lt;=$R$4),$V$4,0)+IF(AND(AF308=$P$5,AM316&lt;=$R$5),$V$5,0)+IF(AND(AF308=$P$6,AM316&lt;=$R$6),$V$6,0)+IF(AND(AF308=$P$7,AM316&lt;=$R$7),$V$7,0))
)</f>
        <v/>
      </c>
      <c r="AF316" s="153" t="s">
        <v>308</v>
      </c>
      <c r="AG316" s="598"/>
      <c r="AH316" s="599"/>
      <c r="AI316" s="600"/>
      <c r="AJ316" s="598"/>
      <c r="AK316" s="599"/>
      <c r="AL316" s="600"/>
      <c r="AM316" s="384"/>
      <c r="AN316" s="256"/>
      <c r="AO316" s="388"/>
    </row>
    <row r="317" spans="4:50" ht="15" customHeight="1" thickBot="1" x14ac:dyDescent="0.35">
      <c r="D317" s="203"/>
      <c r="E317" s="3"/>
      <c r="F317" s="3"/>
      <c r="G317" s="3"/>
      <c r="H317" s="3"/>
      <c r="I317" s="3"/>
      <c r="J317" s="3"/>
      <c r="K317" s="3"/>
      <c r="L317" s="3"/>
      <c r="M317" s="3"/>
      <c r="N317" s="204"/>
      <c r="P317" s="2"/>
      <c r="AA317" s="50"/>
      <c r="AD317" s="203"/>
      <c r="AE317" s="3"/>
      <c r="AF317" s="3"/>
      <c r="AG317" s="3"/>
      <c r="AH317" s="3"/>
      <c r="AI317" s="3"/>
      <c r="AJ317" s="3"/>
      <c r="AK317" s="3"/>
      <c r="AL317" s="3"/>
      <c r="AM317" s="3"/>
      <c r="AN317" s="204"/>
      <c r="AP317" s="2"/>
    </row>
    <row r="318" spans="4:50" ht="15" customHeight="1" x14ac:dyDescent="0.3">
      <c r="D318" s="601" t="str">
        <f>IF(
OR(
OR(F320=$P$4,F320=$P$5,F320=$P$6,F320=$P$7),AND(G322="",G323="",G324="",G325="",G326="",G327="",G328="",J322="",J323="",J324="",J325="",J326="",J327="",J328="",M322="",M323="",M324="",M325="",M326="",M327="",M328="",K319="",K320="")
),
"",
"A Set-Aside must be selected."
)</f>
        <v/>
      </c>
      <c r="E318" s="602"/>
      <c r="F318" s="602"/>
      <c r="G318" s="602"/>
      <c r="H318" s="602"/>
      <c r="I318" s="602"/>
      <c r="J318" s="602"/>
      <c r="K318" s="602"/>
      <c r="L318" s="602"/>
      <c r="M318" s="602"/>
      <c r="N318" s="603"/>
      <c r="O318" s="2"/>
      <c r="AA318" s="50"/>
      <c r="AD318" s="601" t="str">
        <f>IF(
OR(
OR(AF320=$P$4,AF320=$P$5,AF320=$P$6,AF320=$P$7),AND(AG322="",AG323="",AG324="",AG325="",AG326="",AG327="",AG328="",AJ322="",AJ323="",AJ324="",AJ325="",AJ326="",AJ327="",AJ328="",AM322="",AM323="",AM324="",AM325="",AM326="",AM327="",AM328="",AK319="",AK320="")
),
"",
"A Set-Aside must be selected."
)</f>
        <v/>
      </c>
      <c r="AE318" s="602"/>
      <c r="AF318" s="602"/>
      <c r="AG318" s="602"/>
      <c r="AH318" s="602"/>
      <c r="AI318" s="602"/>
      <c r="AJ318" s="602"/>
      <c r="AK318" s="602"/>
      <c r="AL318" s="602"/>
      <c r="AM318" s="602"/>
      <c r="AN318" s="603"/>
      <c r="AO318" s="2"/>
    </row>
    <row r="319" spans="4:50" ht="15" customHeight="1" x14ac:dyDescent="0.3">
      <c r="D319" s="199"/>
      <c r="E319" s="9" t="s">
        <v>30</v>
      </c>
      <c r="F319" s="86">
        <f>F307+1</f>
        <v>24</v>
      </c>
      <c r="G319" s="9" t="s">
        <v>175</v>
      </c>
      <c r="H319" s="9"/>
      <c r="I319" s="9"/>
      <c r="J319" s="168" t="s">
        <v>111</v>
      </c>
      <c r="K319" s="148"/>
      <c r="N319" s="200"/>
      <c r="R319" s="596" t="s">
        <v>302</v>
      </c>
      <c r="S319" s="596" t="s">
        <v>303</v>
      </c>
      <c r="T319" s="596" t="s">
        <v>304</v>
      </c>
      <c r="U319" s="596" t="s">
        <v>305</v>
      </c>
      <c r="V319" s="596" t="s">
        <v>306</v>
      </c>
      <c r="W319" s="596" t="s">
        <v>307</v>
      </c>
      <c r="X319" s="596" t="s">
        <v>308</v>
      </c>
      <c r="AA319" s="50"/>
      <c r="AD319" s="199"/>
      <c r="AE319" s="9" t="s">
        <v>30</v>
      </c>
      <c r="AF319" s="86">
        <f>AF307+1</f>
        <v>24</v>
      </c>
      <c r="AG319" s="9" t="s">
        <v>175</v>
      </c>
      <c r="AH319" s="9"/>
      <c r="AI319" s="9"/>
      <c r="AJ319" s="168" t="s">
        <v>111</v>
      </c>
      <c r="AK319" s="382"/>
      <c r="AN319" s="200"/>
      <c r="AR319" s="596" t="s">
        <v>302</v>
      </c>
      <c r="AS319" s="596" t="s">
        <v>303</v>
      </c>
      <c r="AT319" s="596" t="s">
        <v>304</v>
      </c>
      <c r="AU319" s="596" t="s">
        <v>305</v>
      </c>
      <c r="AV319" s="596" t="s">
        <v>306</v>
      </c>
      <c r="AW319" s="596" t="s">
        <v>307</v>
      </c>
      <c r="AX319" s="596" t="s">
        <v>308</v>
      </c>
    </row>
    <row r="320" spans="4:50" x14ac:dyDescent="0.3">
      <c r="D320" s="604" t="s">
        <v>31</v>
      </c>
      <c r="E320" s="594"/>
      <c r="F320" s="151"/>
      <c r="G320" s="86" t="str">
        <f>IF(F320=$P$4,$Q$4,IF(F320=$P$5,$Q$5,IF(F320=$P$6,$Q$6,IF(F320=$P$7,Q$7,IF(F320=$P$8,"","")))))</f>
        <v/>
      </c>
      <c r="H320" s="201"/>
      <c r="I320" s="201"/>
      <c r="J320" s="168" t="s">
        <v>112</v>
      </c>
      <c r="K320" s="148"/>
      <c r="N320" s="200"/>
      <c r="R320" s="596"/>
      <c r="S320" s="596"/>
      <c r="T320" s="596"/>
      <c r="U320" s="596"/>
      <c r="V320" s="596"/>
      <c r="W320" s="596"/>
      <c r="X320" s="596"/>
      <c r="AA320" s="50"/>
      <c r="AD320" s="604" t="s">
        <v>31</v>
      </c>
      <c r="AE320" s="594"/>
      <c r="AF320" s="383"/>
      <c r="AG320" s="86" t="str">
        <f>IF(AF320=$P$4,$Q$4,IF(AF320=$P$5,$Q$5,IF(AF320=$P$6,$Q$6,IF(AF320=$P$7,AQ$7,IF(AF320=$P$8,"","")))))</f>
        <v/>
      </c>
      <c r="AH320" s="201"/>
      <c r="AI320" s="201"/>
      <c r="AJ320" s="168" t="s">
        <v>112</v>
      </c>
      <c r="AK320" s="382"/>
      <c r="AN320" s="200"/>
      <c r="AR320" s="596"/>
      <c r="AS320" s="596"/>
      <c r="AT320" s="596"/>
      <c r="AU320" s="596"/>
      <c r="AV320" s="596"/>
      <c r="AW320" s="596"/>
      <c r="AX320" s="596"/>
    </row>
    <row r="321" spans="4:50" x14ac:dyDescent="0.3">
      <c r="D321" s="244"/>
      <c r="E321" s="230" t="s">
        <v>52</v>
      </c>
      <c r="F321" s="9" t="s">
        <v>32</v>
      </c>
      <c r="G321" s="9" t="s">
        <v>33</v>
      </c>
      <c r="H321" s="9"/>
      <c r="I321" s="9"/>
      <c r="J321" s="9" t="s">
        <v>34</v>
      </c>
      <c r="K321" s="9"/>
      <c r="L321" s="9"/>
      <c r="M321" s="257" t="s">
        <v>35</v>
      </c>
      <c r="N321" s="202"/>
      <c r="O321" s="9"/>
      <c r="P321" s="198" t="s">
        <v>22</v>
      </c>
      <c r="Q321" s="198"/>
      <c r="R321" s="596"/>
      <c r="S321" s="596"/>
      <c r="T321" s="596"/>
      <c r="U321" s="596"/>
      <c r="V321" s="596"/>
      <c r="W321" s="596"/>
      <c r="X321" s="596"/>
      <c r="AA321" s="50"/>
      <c r="AD321" s="244"/>
      <c r="AE321" s="230" t="s">
        <v>52</v>
      </c>
      <c r="AF321" s="9" t="s">
        <v>32</v>
      </c>
      <c r="AG321" s="9" t="s">
        <v>33</v>
      </c>
      <c r="AH321" s="9"/>
      <c r="AI321" s="9"/>
      <c r="AJ321" s="9" t="s">
        <v>34</v>
      </c>
      <c r="AK321" s="9"/>
      <c r="AL321" s="9"/>
      <c r="AM321" s="257" t="s">
        <v>35</v>
      </c>
      <c r="AN321" s="202"/>
      <c r="AO321" s="9"/>
      <c r="AP321" s="198" t="s">
        <v>22</v>
      </c>
      <c r="AQ321" s="198"/>
      <c r="AR321" s="596"/>
      <c r="AS321" s="596"/>
      <c r="AT321" s="596"/>
      <c r="AU321" s="596"/>
      <c r="AV321" s="596"/>
      <c r="AW321" s="596"/>
      <c r="AX321" s="596"/>
    </row>
    <row r="322" spans="4:50" x14ac:dyDescent="0.3">
      <c r="D322" s="244"/>
      <c r="E322" s="355" t="str">
        <f>IF(OR(M322="",M322=0,J322="",G322=""),"",
(IF(AND(F320=$P$4,M322&lt;=$R$4),$V$4,0)+IF(AND(F320=$P$5,M322&lt;=$R$5),$V$5,0)+IF(AND(F320=$P$6,M322&lt;=$R$6),$V$6,0)+IF(AND(F320=$P$7,M322&lt;=$R$7),$V$7,0))
)</f>
        <v/>
      </c>
      <c r="F322" s="153" t="s">
        <v>302</v>
      </c>
      <c r="G322" s="616"/>
      <c r="H322" s="617"/>
      <c r="I322" s="618"/>
      <c r="J322" s="616"/>
      <c r="K322" s="617"/>
      <c r="L322" s="618"/>
      <c r="M322" s="255"/>
      <c r="N322" s="256"/>
      <c r="O322" s="388"/>
      <c r="P322" s="185">
        <f t="shared" ref="P322" si="367">IF(F320="",0,1)</f>
        <v>0</v>
      </c>
      <c r="R322" s="185" t="str">
        <f t="shared" ref="R322" si="368">E322</f>
        <v/>
      </c>
      <c r="S322" s="185" t="str">
        <f t="shared" ref="S322" si="369">E323</f>
        <v/>
      </c>
      <c r="T322" s="185" t="str">
        <f t="shared" ref="T322" si="370">E324</f>
        <v/>
      </c>
      <c r="U322" s="185" t="str">
        <f t="shared" ref="U322" si="371">E325</f>
        <v/>
      </c>
      <c r="V322" s="185" t="str">
        <f t="shared" ref="V322" si="372">E326</f>
        <v/>
      </c>
      <c r="W322" s="185" t="str">
        <f t="shared" ref="W322" si="373">E327</f>
        <v/>
      </c>
      <c r="X322" s="185" t="str">
        <f t="shared" ref="X322" si="374">E328</f>
        <v/>
      </c>
      <c r="AA322" s="50"/>
      <c r="AD322" s="244"/>
      <c r="AE322" s="355" t="str">
        <f>IF(OR(AM322="",AM322=0,AJ322="",AG322=""),"",
(IF(AND(AF320=$P$4,AM322&lt;=$R$4),$V$4,0)+IF(AND(AF320=$P$5,AM322&lt;=$R$5),$V$5,0)+IF(AND(AF320=$P$6,AM322&lt;=$R$6),$V$6,0)+IF(AND(AF320=$P$7,AM322&lt;=$R$7),$V$7,0))
)</f>
        <v/>
      </c>
      <c r="AF322" s="153" t="s">
        <v>302</v>
      </c>
      <c r="AG322" s="598"/>
      <c r="AH322" s="599"/>
      <c r="AI322" s="600"/>
      <c r="AJ322" s="598"/>
      <c r="AK322" s="599"/>
      <c r="AL322" s="600"/>
      <c r="AM322" s="384"/>
      <c r="AN322" s="256"/>
      <c r="AO322" s="388"/>
      <c r="AP322" s="185">
        <f t="shared" ref="AP322" si="375">IF(AF320="",0,1)</f>
        <v>0</v>
      </c>
      <c r="AR322" s="185" t="str">
        <f t="shared" ref="AR322" si="376">AE322</f>
        <v/>
      </c>
      <c r="AS322" s="185" t="str">
        <f t="shared" ref="AS322" si="377">AE323</f>
        <v/>
      </c>
      <c r="AT322" s="185" t="str">
        <f t="shared" ref="AT322" si="378">AE324</f>
        <v/>
      </c>
      <c r="AU322" s="185" t="str">
        <f t="shared" ref="AU322" si="379">AE325</f>
        <v/>
      </c>
      <c r="AV322" s="185" t="str">
        <f t="shared" ref="AV322" si="380">AE326</f>
        <v/>
      </c>
      <c r="AW322" s="185" t="str">
        <f t="shared" ref="AW322" si="381">AE327</f>
        <v/>
      </c>
      <c r="AX322" s="185" t="str">
        <f t="shared" ref="AX322" si="382">AE328</f>
        <v/>
      </c>
    </row>
    <row r="323" spans="4:50" x14ac:dyDescent="0.3">
      <c r="D323" s="244"/>
      <c r="E323" s="341" t="str">
        <f>IF(OR(M323="",M323=0,J323="",G323=""),"",
(IF(AND(F320=$P$4,M323&lt;=$R$4),$V$4,0)+IF(AND(F320=$P$5,M323&lt;=$R$5),$V$5,0)+IF(AND(F320=$P$6,M323&lt;=$R$6),$V$6,0)+IF(AND(F320=$P$7,M323&lt;=$R$7),$V$7,0))
)</f>
        <v/>
      </c>
      <c r="F323" s="153" t="s">
        <v>303</v>
      </c>
      <c r="G323" s="616"/>
      <c r="H323" s="617"/>
      <c r="I323" s="618"/>
      <c r="J323" s="616"/>
      <c r="K323" s="617"/>
      <c r="L323" s="618"/>
      <c r="M323" s="255"/>
      <c r="N323" s="256"/>
      <c r="O323" s="388"/>
      <c r="AA323" s="50"/>
      <c r="AD323" s="244"/>
      <c r="AE323" s="341" t="str">
        <f>IF(OR(AM323="",AM323=0,AJ323="",AG323=""),"",
(IF(AND(AF320=$P$4,AM323&lt;=$R$4),$V$4,0)+IF(AND(AF320=$P$5,AM323&lt;=$R$5),$V$5,0)+IF(AND(AF320=$P$6,AM323&lt;=$R$6),$V$6,0)+IF(AND(AF320=$P$7,AM323&lt;=$R$7),$V$7,0))
)</f>
        <v/>
      </c>
      <c r="AF323" s="153" t="s">
        <v>303</v>
      </c>
      <c r="AG323" s="598"/>
      <c r="AH323" s="599"/>
      <c r="AI323" s="600"/>
      <c r="AJ323" s="598"/>
      <c r="AK323" s="599"/>
      <c r="AL323" s="600"/>
      <c r="AM323" s="384"/>
      <c r="AN323" s="256"/>
      <c r="AO323" s="388"/>
    </row>
    <row r="324" spans="4:50" x14ac:dyDescent="0.3">
      <c r="D324" s="244"/>
      <c r="E324" s="341" t="str">
        <f>IF(OR(M324="",M324=0,J324="",G324=""),"",
(IF(AND(F320=$P$4,M324&lt;=$R$4),$V$4,0)+IF(AND(F320=$P$5,M324&lt;=$R$5),$V$5,0)+IF(AND(F320=$P$6,M324&lt;=$R$6),$V$6,0)+IF(AND(F320=$P$7,M324&lt;=$R$7),$V$7,0))
)</f>
        <v/>
      </c>
      <c r="F324" s="153" t="s">
        <v>304</v>
      </c>
      <c r="G324" s="616"/>
      <c r="H324" s="617"/>
      <c r="I324" s="618"/>
      <c r="J324" s="616"/>
      <c r="K324" s="617"/>
      <c r="L324" s="618"/>
      <c r="M324" s="255"/>
      <c r="N324" s="256"/>
      <c r="O324" s="388"/>
      <c r="AA324" s="50"/>
      <c r="AD324" s="244"/>
      <c r="AE324" s="341" t="str">
        <f>IF(OR(AM324="",AM324=0,AJ324="",AG324=""),"",
(IF(AND(AF320=$P$4,AM324&lt;=$R$4),$V$4,0)+IF(AND(AF320=$P$5,AM324&lt;=$R$5),$V$5,0)+IF(AND(AF320=$P$6,AM324&lt;=$R$6),$V$6,0)+IF(AND(AF320=$P$7,AM324&lt;=$R$7),$V$7,0))
)</f>
        <v/>
      </c>
      <c r="AF324" s="153" t="s">
        <v>304</v>
      </c>
      <c r="AG324" s="598"/>
      <c r="AH324" s="599"/>
      <c r="AI324" s="600"/>
      <c r="AJ324" s="598"/>
      <c r="AK324" s="599"/>
      <c r="AL324" s="600"/>
      <c r="AM324" s="384"/>
      <c r="AN324" s="256"/>
      <c r="AO324" s="388"/>
    </row>
    <row r="325" spans="4:50" ht="15" customHeight="1" x14ac:dyDescent="0.3">
      <c r="D325" s="244"/>
      <c r="E325" s="341" t="str">
        <f>IF(OR(M325="",M325=0,J325="",G325=""),"",
(IF(AND(F320=$P$4,M325&lt;=$R$4),$V$4,0)+IF(AND(F320=$P$5,M325&lt;=$R$5),$V$5,0)+IF(AND(F320=$P$6,M325&lt;=$R$6),$V$6,0)+IF(AND(F320=$P$7,M325&lt;=$R$7),$V$7,0))
)</f>
        <v/>
      </c>
      <c r="F325" s="153" t="s">
        <v>305</v>
      </c>
      <c r="G325" s="616"/>
      <c r="H325" s="617"/>
      <c r="I325" s="618"/>
      <c r="J325" s="616"/>
      <c r="K325" s="617"/>
      <c r="L325" s="618"/>
      <c r="M325" s="255"/>
      <c r="N325" s="256"/>
      <c r="O325" s="388"/>
      <c r="AA325" s="50"/>
      <c r="AD325" s="244"/>
      <c r="AE325" s="341" t="str">
        <f>IF(OR(AM325="",AM325=0,AJ325="",AG325=""),"",
(IF(AND(AF320=$P$4,AM325&lt;=$R$4),$V$4,0)+IF(AND(AF320=$P$5,AM325&lt;=$R$5),$V$5,0)+IF(AND(AF320=$P$6,AM325&lt;=$R$6),$V$6,0)+IF(AND(AF320=$P$7,AM325&lt;=$R$7),$V$7,0))
)</f>
        <v/>
      </c>
      <c r="AF325" s="153" t="s">
        <v>305</v>
      </c>
      <c r="AG325" s="598"/>
      <c r="AH325" s="599"/>
      <c r="AI325" s="600"/>
      <c r="AJ325" s="598"/>
      <c r="AK325" s="599"/>
      <c r="AL325" s="600"/>
      <c r="AM325" s="384"/>
      <c r="AN325" s="256"/>
      <c r="AO325" s="388"/>
    </row>
    <row r="326" spans="4:50" ht="15" customHeight="1" x14ac:dyDescent="0.3">
      <c r="D326" s="244"/>
      <c r="E326" s="341" t="str">
        <f>IF(OR(M326="",M326=0,J326="",G326=""),"",
(IF(AND(F320=$P$4,M326&lt;=$R$4),$V$4,0)+IF(AND(F320=$P$5,M326&lt;=$R$5),$V$5,0)+IF(AND(F320=$P$6,M326&lt;=$R$6),$V$6,0)+IF(AND(F320=$P$7,M326&lt;=$R$7),$V$7,0))
)</f>
        <v/>
      </c>
      <c r="F326" s="153" t="s">
        <v>306</v>
      </c>
      <c r="G326" s="616"/>
      <c r="H326" s="617"/>
      <c r="I326" s="618"/>
      <c r="J326" s="616"/>
      <c r="K326" s="617"/>
      <c r="L326" s="618"/>
      <c r="M326" s="255"/>
      <c r="N326" s="256"/>
      <c r="O326" s="388"/>
      <c r="AA326" s="50"/>
      <c r="AD326" s="244"/>
      <c r="AE326" s="341" t="str">
        <f>IF(OR(AM326="",AM326=0,AJ326="",AG326=""),"",
(IF(AND(AF320=$P$4,AM326&lt;=$R$4),$V$4,0)+IF(AND(AF320=$P$5,AM326&lt;=$R$5),$V$5,0)+IF(AND(AF320=$P$6,AM326&lt;=$R$6),$V$6,0)+IF(AND(AF320=$P$7,AM326&lt;=$R$7),$V$7,0))
)</f>
        <v/>
      </c>
      <c r="AF326" s="153" t="s">
        <v>306</v>
      </c>
      <c r="AG326" s="598"/>
      <c r="AH326" s="599"/>
      <c r="AI326" s="600"/>
      <c r="AJ326" s="598"/>
      <c r="AK326" s="599"/>
      <c r="AL326" s="600"/>
      <c r="AM326" s="384"/>
      <c r="AN326" s="256"/>
      <c r="AO326" s="388"/>
    </row>
    <row r="327" spans="4:50" ht="15" customHeight="1" x14ac:dyDescent="0.3">
      <c r="D327" s="244"/>
      <c r="E327" s="341" t="str">
        <f>IF(OR(M327="",M327=0,J327="",G327=""),"",
(IF(AND(F320=$P$4,M327&lt;=$R$4),$V$4,0)+IF(AND(F320=$P$5,M327&lt;=$R$5),$V$5,0)+IF(AND(F320=$P$6,M327&lt;=$R$6),$V$6,0)+IF(AND(F320=$P$7,M327&lt;=$R$7),$V$7,0))
)</f>
        <v/>
      </c>
      <c r="F327" s="153" t="s">
        <v>307</v>
      </c>
      <c r="G327" s="616"/>
      <c r="H327" s="617"/>
      <c r="I327" s="618"/>
      <c r="J327" s="616"/>
      <c r="K327" s="617"/>
      <c r="L327" s="618"/>
      <c r="M327" s="255"/>
      <c r="N327" s="256"/>
      <c r="O327" s="388"/>
      <c r="AA327" s="50"/>
      <c r="AD327" s="244"/>
      <c r="AE327" s="341" t="str">
        <f>IF(OR(AM327="",AM327=0,AJ327="",AG327=""),"",
(IF(AND(AF320=$P$4,AM327&lt;=$R$4),$V$4,0)+IF(AND(AF320=$P$5,AM327&lt;=$R$5),$V$5,0)+IF(AND(AF320=$P$6,AM327&lt;=$R$6),$V$6,0)+IF(AND(AF320=$P$7,AM327&lt;=$R$7),$V$7,0))
)</f>
        <v/>
      </c>
      <c r="AF327" s="153" t="s">
        <v>307</v>
      </c>
      <c r="AG327" s="598"/>
      <c r="AH327" s="599"/>
      <c r="AI327" s="600"/>
      <c r="AJ327" s="598"/>
      <c r="AK327" s="599"/>
      <c r="AL327" s="600"/>
      <c r="AM327" s="384"/>
      <c r="AN327" s="256"/>
      <c r="AO327" s="388"/>
    </row>
    <row r="328" spans="4:50" ht="15" customHeight="1" x14ac:dyDescent="0.3">
      <c r="D328" s="244"/>
      <c r="E328" s="341" t="str">
        <f>IF(OR(M328="",M328=0,J328="",G328=""),"",
(IF(AND(F320=$P$4,M328&lt;=$R$4),$V$4,0)+IF(AND(F320=$P$5,M328&lt;=$R$5),$V$5,0)+IF(AND(F320=$P$6,M328&lt;=$R$6),$V$6,0)+IF(AND(F320=$P$7,M328&lt;=$R$7),$V$7,0))
)</f>
        <v/>
      </c>
      <c r="F328" s="153" t="s">
        <v>308</v>
      </c>
      <c r="G328" s="616"/>
      <c r="H328" s="617"/>
      <c r="I328" s="618"/>
      <c r="J328" s="616"/>
      <c r="K328" s="617"/>
      <c r="L328" s="618"/>
      <c r="M328" s="255"/>
      <c r="N328" s="256"/>
      <c r="O328" s="388"/>
      <c r="AA328" s="50"/>
      <c r="AD328" s="244"/>
      <c r="AE328" s="341" t="str">
        <f>IF(OR(AM328="",AM328=0,AJ328="",AG328=""),"",
(IF(AND(AF320=$P$4,AM328&lt;=$R$4),$V$4,0)+IF(AND(AF320=$P$5,AM328&lt;=$R$5),$V$5,0)+IF(AND(AF320=$P$6,AM328&lt;=$R$6),$V$6,0)+IF(AND(AF320=$P$7,AM328&lt;=$R$7),$V$7,0))
)</f>
        <v/>
      </c>
      <c r="AF328" s="153" t="s">
        <v>308</v>
      </c>
      <c r="AG328" s="598"/>
      <c r="AH328" s="599"/>
      <c r="AI328" s="600"/>
      <c r="AJ328" s="598"/>
      <c r="AK328" s="599"/>
      <c r="AL328" s="600"/>
      <c r="AM328" s="384"/>
      <c r="AN328" s="256"/>
      <c r="AO328" s="388"/>
    </row>
    <row r="329" spans="4:50" ht="15" customHeight="1" thickBot="1" x14ac:dyDescent="0.35">
      <c r="D329" s="203"/>
      <c r="E329" s="3"/>
      <c r="F329" s="3"/>
      <c r="G329" s="3"/>
      <c r="H329" s="3"/>
      <c r="I329" s="3"/>
      <c r="J329" s="3"/>
      <c r="K329" s="3"/>
      <c r="L329" s="3"/>
      <c r="M329" s="3"/>
      <c r="N329" s="204"/>
      <c r="P329" s="2"/>
      <c r="AA329" s="50"/>
      <c r="AD329" s="203"/>
      <c r="AE329" s="3"/>
      <c r="AF329" s="3"/>
      <c r="AG329" s="3"/>
      <c r="AH329" s="3"/>
      <c r="AI329" s="3"/>
      <c r="AJ329" s="3"/>
      <c r="AK329" s="3"/>
      <c r="AL329" s="3"/>
      <c r="AM329" s="3"/>
      <c r="AN329" s="204"/>
      <c r="AP329" s="2"/>
    </row>
    <row r="330" spans="4:50" x14ac:dyDescent="0.3">
      <c r="D330" s="601" t="str">
        <f>IF(
OR(
OR(F332=$P$4,F332=$P$5,F332=$P$6,F332=$P$7),AND(G334="",G335="",G336="",G337="",G338="",G339="",G340="",J334="",J335="",J336="",J337="",J338="",J339="",J340="",M334="",M335="",M336="",M337="",M338="",M339="",M340="",K331="",K332="")
),
"",
"A Set-Aside must be selected."
)</f>
        <v/>
      </c>
      <c r="E330" s="602"/>
      <c r="F330" s="602"/>
      <c r="G330" s="602"/>
      <c r="H330" s="602"/>
      <c r="I330" s="602"/>
      <c r="J330" s="602"/>
      <c r="K330" s="602"/>
      <c r="L330" s="602"/>
      <c r="M330" s="602"/>
      <c r="N330" s="603"/>
      <c r="O330" s="2"/>
      <c r="AA330" s="50"/>
      <c r="AD330" s="601" t="str">
        <f>IF(
OR(
OR(AF332=$P$4,AF332=$P$5,AF332=$P$6,AF332=$P$7),AND(AG334="",AG335="",AG336="",AG337="",AG338="",AG339="",AG340="",AJ334="",AJ335="",AJ336="",AJ337="",AJ338="",AJ339="",AJ340="",AM334="",AM335="",AM336="",AM337="",AM338="",AM339="",AM340="",AK331="",AK332="")
),
"",
"A Set-Aside must be selected."
)</f>
        <v/>
      </c>
      <c r="AE330" s="602"/>
      <c r="AF330" s="602"/>
      <c r="AG330" s="602"/>
      <c r="AH330" s="602"/>
      <c r="AI330" s="602"/>
      <c r="AJ330" s="602"/>
      <c r="AK330" s="602"/>
      <c r="AL330" s="602"/>
      <c r="AM330" s="602"/>
      <c r="AN330" s="603"/>
      <c r="AO330" s="2"/>
    </row>
    <row r="331" spans="4:50" ht="15.75" customHeight="1" x14ac:dyDescent="0.3">
      <c r="D331" s="199"/>
      <c r="E331" s="9" t="s">
        <v>30</v>
      </c>
      <c r="F331" s="86">
        <f>F319+1</f>
        <v>25</v>
      </c>
      <c r="G331" s="9" t="s">
        <v>175</v>
      </c>
      <c r="H331" s="9"/>
      <c r="I331" s="9"/>
      <c r="J331" s="168" t="s">
        <v>111</v>
      </c>
      <c r="K331" s="148"/>
      <c r="N331" s="200"/>
      <c r="R331" s="596" t="s">
        <v>302</v>
      </c>
      <c r="S331" s="596" t="s">
        <v>303</v>
      </c>
      <c r="T331" s="596" t="s">
        <v>304</v>
      </c>
      <c r="U331" s="596" t="s">
        <v>305</v>
      </c>
      <c r="V331" s="596" t="s">
        <v>306</v>
      </c>
      <c r="W331" s="596" t="s">
        <v>307</v>
      </c>
      <c r="X331" s="596" t="s">
        <v>308</v>
      </c>
      <c r="AA331" s="50"/>
      <c r="AD331" s="199"/>
      <c r="AE331" s="9" t="s">
        <v>30</v>
      </c>
      <c r="AF331" s="86">
        <f>AF319+1</f>
        <v>25</v>
      </c>
      <c r="AG331" s="9" t="s">
        <v>175</v>
      </c>
      <c r="AH331" s="9"/>
      <c r="AI331" s="9"/>
      <c r="AJ331" s="168" t="s">
        <v>111</v>
      </c>
      <c r="AK331" s="382"/>
      <c r="AN331" s="200"/>
      <c r="AR331" s="596" t="s">
        <v>302</v>
      </c>
      <c r="AS331" s="596" t="s">
        <v>303</v>
      </c>
      <c r="AT331" s="596" t="s">
        <v>304</v>
      </c>
      <c r="AU331" s="596" t="s">
        <v>305</v>
      </c>
      <c r="AV331" s="596" t="s">
        <v>306</v>
      </c>
      <c r="AW331" s="596" t="s">
        <v>307</v>
      </c>
      <c r="AX331" s="596" t="s">
        <v>308</v>
      </c>
    </row>
    <row r="332" spans="4:50" x14ac:dyDescent="0.3">
      <c r="D332" s="604" t="s">
        <v>31</v>
      </c>
      <c r="E332" s="594"/>
      <c r="F332" s="151"/>
      <c r="G332" s="86" t="str">
        <f>IF(F332=$P$4,$Q$4,IF(F332=$P$5,$Q$5,IF(F332=$P$6,$Q$6,IF(F332=$P$7,Q$7,IF(F332=$P$8,"","")))))</f>
        <v/>
      </c>
      <c r="H332" s="201"/>
      <c r="I332" s="201"/>
      <c r="J332" s="168" t="s">
        <v>112</v>
      </c>
      <c r="K332" s="148"/>
      <c r="N332" s="200"/>
      <c r="R332" s="596"/>
      <c r="S332" s="596"/>
      <c r="T332" s="596"/>
      <c r="U332" s="596"/>
      <c r="V332" s="596"/>
      <c r="W332" s="596"/>
      <c r="X332" s="596"/>
      <c r="AA332" s="50"/>
      <c r="AD332" s="604" t="s">
        <v>31</v>
      </c>
      <c r="AE332" s="594"/>
      <c r="AF332" s="383"/>
      <c r="AG332" s="86" t="str">
        <f>IF(AF332=$P$4,$Q$4,IF(AF332=$P$5,$Q$5,IF(AF332=$P$6,$Q$6,IF(AF332=$P$7,AQ$7,IF(AF332=$P$8,"","")))))</f>
        <v/>
      </c>
      <c r="AH332" s="201"/>
      <c r="AI332" s="201"/>
      <c r="AJ332" s="168" t="s">
        <v>112</v>
      </c>
      <c r="AK332" s="382"/>
      <c r="AN332" s="200"/>
      <c r="AR332" s="596"/>
      <c r="AS332" s="596"/>
      <c r="AT332" s="596"/>
      <c r="AU332" s="596"/>
      <c r="AV332" s="596"/>
      <c r="AW332" s="596"/>
      <c r="AX332" s="596"/>
    </row>
    <row r="333" spans="4:50" x14ac:dyDescent="0.3">
      <c r="D333" s="244"/>
      <c r="E333" s="230" t="s">
        <v>52</v>
      </c>
      <c r="F333" s="9" t="s">
        <v>32</v>
      </c>
      <c r="G333" s="9" t="s">
        <v>33</v>
      </c>
      <c r="H333" s="9"/>
      <c r="I333" s="9"/>
      <c r="J333" s="9" t="s">
        <v>34</v>
      </c>
      <c r="K333" s="9"/>
      <c r="L333" s="9"/>
      <c r="M333" s="257" t="s">
        <v>35</v>
      </c>
      <c r="N333" s="202"/>
      <c r="O333" s="9"/>
      <c r="P333" s="198" t="s">
        <v>22</v>
      </c>
      <c r="Q333" s="198"/>
      <c r="R333" s="596"/>
      <c r="S333" s="596"/>
      <c r="T333" s="596"/>
      <c r="U333" s="596"/>
      <c r="V333" s="596"/>
      <c r="W333" s="596"/>
      <c r="X333" s="596"/>
      <c r="AA333" s="50"/>
      <c r="AD333" s="244"/>
      <c r="AE333" s="230" t="s">
        <v>52</v>
      </c>
      <c r="AF333" s="9" t="s">
        <v>32</v>
      </c>
      <c r="AG333" s="9" t="s">
        <v>33</v>
      </c>
      <c r="AH333" s="9"/>
      <c r="AI333" s="9"/>
      <c r="AJ333" s="9" t="s">
        <v>34</v>
      </c>
      <c r="AK333" s="9"/>
      <c r="AL333" s="9"/>
      <c r="AM333" s="257" t="s">
        <v>35</v>
      </c>
      <c r="AN333" s="202"/>
      <c r="AO333" s="9"/>
      <c r="AP333" s="198" t="s">
        <v>22</v>
      </c>
      <c r="AQ333" s="198"/>
      <c r="AR333" s="596"/>
      <c r="AS333" s="596"/>
      <c r="AT333" s="596"/>
      <c r="AU333" s="596"/>
      <c r="AV333" s="596"/>
      <c r="AW333" s="596"/>
      <c r="AX333" s="596"/>
    </row>
    <row r="334" spans="4:50" x14ac:dyDescent="0.3">
      <c r="D334" s="244"/>
      <c r="E334" s="355" t="str">
        <f>IF(OR(M334="",M334=0,J334="",G334=""),"",
(IF(AND(F332=$P$4,M334&lt;=$R$4),$V$4,0)+IF(AND(F332=$P$5,M334&lt;=$R$5),$V$5,0)+IF(AND(F332=$P$6,M334&lt;=$R$6),$V$6,0)+IF(AND(F332=$P$7,M334&lt;=$R$7),$V$7,0))
)</f>
        <v/>
      </c>
      <c r="F334" s="153" t="s">
        <v>302</v>
      </c>
      <c r="G334" s="616"/>
      <c r="H334" s="617"/>
      <c r="I334" s="618"/>
      <c r="J334" s="616"/>
      <c r="K334" s="617"/>
      <c r="L334" s="618"/>
      <c r="M334" s="255"/>
      <c r="N334" s="256"/>
      <c r="O334" s="388"/>
      <c r="P334" s="185">
        <f t="shared" ref="P334" si="383">IF(F332="",0,1)</f>
        <v>0</v>
      </c>
      <c r="R334" s="185" t="str">
        <f t="shared" ref="R334" si="384">E334</f>
        <v/>
      </c>
      <c r="S334" s="185" t="str">
        <f t="shared" ref="S334" si="385">E335</f>
        <v/>
      </c>
      <c r="T334" s="185" t="str">
        <f t="shared" ref="T334" si="386">E336</f>
        <v/>
      </c>
      <c r="U334" s="185" t="str">
        <f t="shared" ref="U334" si="387">E337</f>
        <v/>
      </c>
      <c r="V334" s="185" t="str">
        <f t="shared" ref="V334" si="388">E338</f>
        <v/>
      </c>
      <c r="W334" s="185" t="str">
        <f t="shared" ref="W334" si="389">E339</f>
        <v/>
      </c>
      <c r="X334" s="185" t="str">
        <f t="shared" ref="X334" si="390">E340</f>
        <v/>
      </c>
      <c r="AA334" s="50"/>
      <c r="AD334" s="244"/>
      <c r="AE334" s="355" t="str">
        <f>IF(OR(AM334="",AM334=0,AJ334="",AG334=""),"",
(IF(AND(AF332=$P$4,AM334&lt;=$R$4),$V$4,0)+IF(AND(AF332=$P$5,AM334&lt;=$R$5),$V$5,0)+IF(AND(AF332=$P$6,AM334&lt;=$R$6),$V$6,0)+IF(AND(AF332=$P$7,AM334&lt;=$R$7),$V$7,0))
)</f>
        <v/>
      </c>
      <c r="AF334" s="153" t="s">
        <v>302</v>
      </c>
      <c r="AG334" s="598"/>
      <c r="AH334" s="599"/>
      <c r="AI334" s="600"/>
      <c r="AJ334" s="598"/>
      <c r="AK334" s="599"/>
      <c r="AL334" s="600"/>
      <c r="AM334" s="384"/>
      <c r="AN334" s="256"/>
      <c r="AO334" s="388"/>
      <c r="AP334" s="185">
        <f t="shared" ref="AP334" si="391">IF(AF332="",0,1)</f>
        <v>0</v>
      </c>
      <c r="AR334" s="185" t="str">
        <f t="shared" ref="AR334" si="392">AE334</f>
        <v/>
      </c>
      <c r="AS334" s="185" t="str">
        <f t="shared" ref="AS334" si="393">AE335</f>
        <v/>
      </c>
      <c r="AT334" s="185" t="str">
        <f t="shared" ref="AT334" si="394">AE336</f>
        <v/>
      </c>
      <c r="AU334" s="185" t="str">
        <f t="shared" ref="AU334" si="395">AE337</f>
        <v/>
      </c>
      <c r="AV334" s="185" t="str">
        <f t="shared" ref="AV334" si="396">AE338</f>
        <v/>
      </c>
      <c r="AW334" s="185" t="str">
        <f t="shared" ref="AW334" si="397">AE339</f>
        <v/>
      </c>
      <c r="AX334" s="185" t="str">
        <f t="shared" ref="AX334" si="398">AE340</f>
        <v/>
      </c>
    </row>
    <row r="335" spans="4:50" ht="15" customHeight="1" x14ac:dyDescent="0.3">
      <c r="D335" s="244"/>
      <c r="E335" s="341" t="str">
        <f>IF(OR(M335="",M335=0,J335="",G335=""),"",
(IF(AND(F332=$P$4,M335&lt;=$R$4),$V$4,0)+IF(AND(F332=$P$5,M335&lt;=$R$5),$V$5,0)+IF(AND(F332=$P$6,M335&lt;=$R$6),$V$6,0)+IF(AND(F332=$P$7,M335&lt;=$R$7),$V$7,0))
)</f>
        <v/>
      </c>
      <c r="F335" s="153" t="s">
        <v>303</v>
      </c>
      <c r="G335" s="616"/>
      <c r="H335" s="617"/>
      <c r="I335" s="618"/>
      <c r="J335" s="616"/>
      <c r="K335" s="617"/>
      <c r="L335" s="618"/>
      <c r="M335" s="255"/>
      <c r="N335" s="256"/>
      <c r="O335" s="388"/>
      <c r="AA335" s="50"/>
      <c r="AD335" s="244"/>
      <c r="AE335" s="341" t="str">
        <f>IF(OR(AM335="",AM335=0,AJ335="",AG335=""),"",
(IF(AND(AF332=$P$4,AM335&lt;=$R$4),$V$4,0)+IF(AND(AF332=$P$5,AM335&lt;=$R$5),$V$5,0)+IF(AND(AF332=$P$6,AM335&lt;=$R$6),$V$6,0)+IF(AND(AF332=$P$7,AM335&lt;=$R$7),$V$7,0))
)</f>
        <v/>
      </c>
      <c r="AF335" s="153" t="s">
        <v>303</v>
      </c>
      <c r="AG335" s="598"/>
      <c r="AH335" s="599"/>
      <c r="AI335" s="600"/>
      <c r="AJ335" s="598"/>
      <c r="AK335" s="599"/>
      <c r="AL335" s="600"/>
      <c r="AM335" s="384"/>
      <c r="AN335" s="256"/>
      <c r="AO335" s="388"/>
    </row>
    <row r="336" spans="4:50" ht="15" customHeight="1" x14ac:dyDescent="0.3">
      <c r="D336" s="244"/>
      <c r="E336" s="341" t="str">
        <f>IF(OR(M336="",M336=0,J336="",G336=""),"",
(IF(AND(F332=$P$4,M336&lt;=$R$4),$V$4,0)+IF(AND(F332=$P$5,M336&lt;=$R$5),$V$5,0)+IF(AND(F332=$P$6,M336&lt;=$R$6),$V$6,0)+IF(AND(F332=$P$7,M336&lt;=$R$7),$V$7,0))
)</f>
        <v/>
      </c>
      <c r="F336" s="153" t="s">
        <v>304</v>
      </c>
      <c r="G336" s="616"/>
      <c r="H336" s="617"/>
      <c r="I336" s="618"/>
      <c r="J336" s="616"/>
      <c r="K336" s="617"/>
      <c r="L336" s="618"/>
      <c r="M336" s="255"/>
      <c r="N336" s="256"/>
      <c r="O336" s="388"/>
      <c r="AA336" s="50"/>
      <c r="AD336" s="244"/>
      <c r="AE336" s="341" t="str">
        <f>IF(OR(AM336="",AM336=0,AJ336="",AG336=""),"",
(IF(AND(AF332=$P$4,AM336&lt;=$R$4),$V$4,0)+IF(AND(AF332=$P$5,AM336&lt;=$R$5),$V$5,0)+IF(AND(AF332=$P$6,AM336&lt;=$R$6),$V$6,0)+IF(AND(AF332=$P$7,AM336&lt;=$R$7),$V$7,0))
)</f>
        <v/>
      </c>
      <c r="AF336" s="153" t="s">
        <v>304</v>
      </c>
      <c r="AG336" s="598"/>
      <c r="AH336" s="599"/>
      <c r="AI336" s="600"/>
      <c r="AJ336" s="598"/>
      <c r="AK336" s="599"/>
      <c r="AL336" s="600"/>
      <c r="AM336" s="384"/>
      <c r="AN336" s="256"/>
      <c r="AO336" s="388"/>
    </row>
    <row r="337" spans="4:50" ht="15" customHeight="1" x14ac:dyDescent="0.3">
      <c r="D337" s="244"/>
      <c r="E337" s="341" t="str">
        <f>IF(OR(M337="",M337=0,J337="",G337=""),"",
(IF(AND(F332=$P$4,M337&lt;=$R$4),$V$4,0)+IF(AND(F332=$P$5,M337&lt;=$R$5),$V$5,0)+IF(AND(F332=$P$6,M337&lt;=$R$6),$V$6,0)+IF(AND(F332=$P$7,M337&lt;=$R$7),$V$7,0))
)</f>
        <v/>
      </c>
      <c r="F337" s="153" t="s">
        <v>305</v>
      </c>
      <c r="G337" s="616"/>
      <c r="H337" s="617"/>
      <c r="I337" s="618"/>
      <c r="J337" s="616"/>
      <c r="K337" s="617"/>
      <c r="L337" s="618"/>
      <c r="M337" s="255"/>
      <c r="N337" s="256"/>
      <c r="O337" s="388"/>
      <c r="AA337" s="50"/>
      <c r="AD337" s="244"/>
      <c r="AE337" s="341" t="str">
        <f>IF(OR(AM337="",AM337=0,AJ337="",AG337=""),"",
(IF(AND(AF332=$P$4,AM337&lt;=$R$4),$V$4,0)+IF(AND(AF332=$P$5,AM337&lt;=$R$5),$V$5,0)+IF(AND(AF332=$P$6,AM337&lt;=$R$6),$V$6,0)+IF(AND(AF332=$P$7,AM337&lt;=$R$7),$V$7,0))
)</f>
        <v/>
      </c>
      <c r="AF337" s="153" t="s">
        <v>305</v>
      </c>
      <c r="AG337" s="598"/>
      <c r="AH337" s="599"/>
      <c r="AI337" s="600"/>
      <c r="AJ337" s="598"/>
      <c r="AK337" s="599"/>
      <c r="AL337" s="600"/>
      <c r="AM337" s="384"/>
      <c r="AN337" s="256"/>
      <c r="AO337" s="388"/>
    </row>
    <row r="338" spans="4:50" ht="15" customHeight="1" x14ac:dyDescent="0.3">
      <c r="D338" s="244"/>
      <c r="E338" s="341" t="str">
        <f>IF(OR(M338="",M338=0,J338="",G338=""),"",
(IF(AND(F332=$P$4,M338&lt;=$R$4),$V$4,0)+IF(AND(F332=$P$5,M338&lt;=$R$5),$V$5,0)+IF(AND(F332=$P$6,M338&lt;=$R$6),$V$6,0)+IF(AND(F332=$P$7,M338&lt;=$R$7),$V$7,0))
)</f>
        <v/>
      </c>
      <c r="F338" s="153" t="s">
        <v>306</v>
      </c>
      <c r="G338" s="616"/>
      <c r="H338" s="617"/>
      <c r="I338" s="618"/>
      <c r="J338" s="616"/>
      <c r="K338" s="617"/>
      <c r="L338" s="618"/>
      <c r="M338" s="255"/>
      <c r="N338" s="256"/>
      <c r="O338" s="388"/>
      <c r="AA338" s="50"/>
      <c r="AD338" s="244"/>
      <c r="AE338" s="341" t="str">
        <f>IF(OR(AM338="",AM338=0,AJ338="",AG338=""),"",
(IF(AND(AF332=$P$4,AM338&lt;=$R$4),$V$4,0)+IF(AND(AF332=$P$5,AM338&lt;=$R$5),$V$5,0)+IF(AND(AF332=$P$6,AM338&lt;=$R$6),$V$6,0)+IF(AND(AF332=$P$7,AM338&lt;=$R$7),$V$7,0))
)</f>
        <v/>
      </c>
      <c r="AF338" s="153" t="s">
        <v>306</v>
      </c>
      <c r="AG338" s="598"/>
      <c r="AH338" s="599"/>
      <c r="AI338" s="600"/>
      <c r="AJ338" s="598"/>
      <c r="AK338" s="599"/>
      <c r="AL338" s="600"/>
      <c r="AM338" s="384"/>
      <c r="AN338" s="256"/>
      <c r="AO338" s="388"/>
    </row>
    <row r="339" spans="4:50" ht="15" customHeight="1" x14ac:dyDescent="0.3">
      <c r="D339" s="244"/>
      <c r="E339" s="341" t="str">
        <f>IF(OR(M339="",M339=0,J339="",G339=""),"",
(IF(AND(F332=$P$4,M339&lt;=$R$4),$V$4,0)+IF(AND(F332=$P$5,M339&lt;=$R$5),$V$5,0)+IF(AND(F332=$P$6,M339&lt;=$R$6),$V$6,0)+IF(AND(F332=$P$7,M339&lt;=$R$7),$V$7,0))
)</f>
        <v/>
      </c>
      <c r="F339" s="153" t="s">
        <v>307</v>
      </c>
      <c r="G339" s="616"/>
      <c r="H339" s="617"/>
      <c r="I339" s="618"/>
      <c r="J339" s="616"/>
      <c r="K339" s="617"/>
      <c r="L339" s="618"/>
      <c r="M339" s="255"/>
      <c r="N339" s="256"/>
      <c r="O339" s="388"/>
      <c r="AA339" s="50"/>
      <c r="AD339" s="244"/>
      <c r="AE339" s="341" t="str">
        <f>IF(OR(AM339="",AM339=0,AJ339="",AG339=""),"",
(IF(AND(AF332=$P$4,AM339&lt;=$R$4),$V$4,0)+IF(AND(AF332=$P$5,AM339&lt;=$R$5),$V$5,0)+IF(AND(AF332=$P$6,AM339&lt;=$R$6),$V$6,0)+IF(AND(AF332=$P$7,AM339&lt;=$R$7),$V$7,0))
)</f>
        <v/>
      </c>
      <c r="AF339" s="153" t="s">
        <v>307</v>
      </c>
      <c r="AG339" s="598"/>
      <c r="AH339" s="599"/>
      <c r="AI339" s="600"/>
      <c r="AJ339" s="598"/>
      <c r="AK339" s="599"/>
      <c r="AL339" s="600"/>
      <c r="AM339" s="384"/>
      <c r="AN339" s="256"/>
      <c r="AO339" s="388"/>
    </row>
    <row r="340" spans="4:50" ht="15" customHeight="1" x14ac:dyDescent="0.3">
      <c r="D340" s="244"/>
      <c r="E340" s="341" t="str">
        <f>IF(OR(M340="",M340=0,J340="",G340=""),"",
(IF(AND(F332=$P$4,M340&lt;=$R$4),$V$4,0)+IF(AND(F332=$P$5,M340&lt;=$R$5),$V$5,0)+IF(AND(F332=$P$6,M340&lt;=$R$6),$V$6,0)+IF(AND(F332=$P$7,M340&lt;=$R$7),$V$7,0))
)</f>
        <v/>
      </c>
      <c r="F340" s="153" t="s">
        <v>308</v>
      </c>
      <c r="G340" s="616"/>
      <c r="H340" s="617"/>
      <c r="I340" s="618"/>
      <c r="J340" s="616"/>
      <c r="K340" s="617"/>
      <c r="L340" s="618"/>
      <c r="M340" s="255"/>
      <c r="N340" s="256"/>
      <c r="O340" s="388"/>
      <c r="AA340" s="50"/>
      <c r="AD340" s="244"/>
      <c r="AE340" s="341" t="str">
        <f>IF(OR(AM340="",AM340=0,AJ340="",AG340=""),"",
(IF(AND(AF332=$P$4,AM340&lt;=$R$4),$V$4,0)+IF(AND(AF332=$P$5,AM340&lt;=$R$5),$V$5,0)+IF(AND(AF332=$P$6,AM340&lt;=$R$6),$V$6,0)+IF(AND(AF332=$P$7,AM340&lt;=$R$7),$V$7,0))
)</f>
        <v/>
      </c>
      <c r="AF340" s="153" t="s">
        <v>308</v>
      </c>
      <c r="AG340" s="598"/>
      <c r="AH340" s="599"/>
      <c r="AI340" s="600"/>
      <c r="AJ340" s="598"/>
      <c r="AK340" s="599"/>
      <c r="AL340" s="600"/>
      <c r="AM340" s="384"/>
      <c r="AN340" s="256"/>
      <c r="AO340" s="388"/>
    </row>
    <row r="341" spans="4:50" ht="15" customHeight="1" thickBot="1" x14ac:dyDescent="0.35">
      <c r="D341" s="203"/>
      <c r="E341" s="3"/>
      <c r="F341" s="3"/>
      <c r="G341" s="3"/>
      <c r="H341" s="3"/>
      <c r="I341" s="3"/>
      <c r="J341" s="3"/>
      <c r="K341" s="3"/>
      <c r="L341" s="3"/>
      <c r="M341" s="3"/>
      <c r="N341" s="204"/>
      <c r="P341" s="2"/>
      <c r="AA341" s="50"/>
      <c r="AD341" s="203"/>
      <c r="AE341" s="3"/>
      <c r="AF341" s="3"/>
      <c r="AG341" s="3"/>
      <c r="AH341" s="3"/>
      <c r="AI341" s="3"/>
      <c r="AJ341" s="3"/>
      <c r="AK341" s="3"/>
      <c r="AL341" s="3"/>
      <c r="AM341" s="3"/>
      <c r="AN341" s="204"/>
      <c r="AP341" s="2"/>
    </row>
    <row r="342" spans="4:50" ht="15" customHeight="1" x14ac:dyDescent="0.3">
      <c r="D342" s="601" t="str">
        <f>IF(
OR(
OR(F344=$P$4,F344=$P$5,F344=$P$6,F344=$P$7),AND(G346="",G347="",G348="",G349="",G350="",G351="",G352="",J346="",J347="",J348="",J349="",J350="",J351="",J352="",M346="",M347="",M348="",M349="",M350="",M351="",M352="",K343="",K344="")
),
"",
"A Set-Aside must be selected."
)</f>
        <v/>
      </c>
      <c r="E342" s="602"/>
      <c r="F342" s="602"/>
      <c r="G342" s="602"/>
      <c r="H342" s="602"/>
      <c r="I342" s="602"/>
      <c r="J342" s="602"/>
      <c r="K342" s="602"/>
      <c r="L342" s="602"/>
      <c r="M342" s="602"/>
      <c r="N342" s="603"/>
      <c r="O342" s="2"/>
      <c r="AA342" s="50"/>
      <c r="AD342" s="601" t="str">
        <f>IF(
OR(
OR(AF344=$P$4,AF344=$P$5,AF344=$P$6,AF344=$P$7),AND(AG346="",AG347="",AG348="",AG349="",AG350="",AG351="",AG352="",AJ346="",AJ347="",AJ348="",AJ349="",AJ350="",AJ351="",AJ352="",AM346="",AM347="",AM348="",AM349="",AM350="",AM351="",AM352="",AK343="",AK344="")
),
"",
"A Set-Aside must be selected."
)</f>
        <v/>
      </c>
      <c r="AE342" s="602"/>
      <c r="AF342" s="602"/>
      <c r="AG342" s="602"/>
      <c r="AH342" s="602"/>
      <c r="AI342" s="602"/>
      <c r="AJ342" s="602"/>
      <c r="AK342" s="602"/>
      <c r="AL342" s="602"/>
      <c r="AM342" s="602"/>
      <c r="AN342" s="603"/>
      <c r="AO342" s="2"/>
    </row>
    <row r="343" spans="4:50" ht="15.75" customHeight="1" x14ac:dyDescent="0.3">
      <c r="D343" s="199"/>
      <c r="E343" s="9" t="s">
        <v>30</v>
      </c>
      <c r="F343" s="86">
        <f>F331+1</f>
        <v>26</v>
      </c>
      <c r="G343" s="9" t="s">
        <v>175</v>
      </c>
      <c r="H343" s="9"/>
      <c r="I343" s="9"/>
      <c r="J343" s="168" t="s">
        <v>111</v>
      </c>
      <c r="K343" s="148"/>
      <c r="N343" s="200"/>
      <c r="R343" s="596" t="s">
        <v>302</v>
      </c>
      <c r="S343" s="596" t="s">
        <v>303</v>
      </c>
      <c r="T343" s="596" t="s">
        <v>304</v>
      </c>
      <c r="U343" s="596" t="s">
        <v>305</v>
      </c>
      <c r="V343" s="596" t="s">
        <v>306</v>
      </c>
      <c r="W343" s="596" t="s">
        <v>307</v>
      </c>
      <c r="X343" s="596" t="s">
        <v>308</v>
      </c>
      <c r="AA343" s="50"/>
      <c r="AD343" s="199"/>
      <c r="AE343" s="9" t="s">
        <v>30</v>
      </c>
      <c r="AF343" s="86">
        <f>AF331+1</f>
        <v>26</v>
      </c>
      <c r="AG343" s="9" t="s">
        <v>175</v>
      </c>
      <c r="AH343" s="9"/>
      <c r="AI343" s="9"/>
      <c r="AJ343" s="168" t="s">
        <v>111</v>
      </c>
      <c r="AK343" s="382"/>
      <c r="AN343" s="200"/>
      <c r="AR343" s="596" t="s">
        <v>302</v>
      </c>
      <c r="AS343" s="596" t="s">
        <v>303</v>
      </c>
      <c r="AT343" s="596" t="s">
        <v>304</v>
      </c>
      <c r="AU343" s="596" t="s">
        <v>305</v>
      </c>
      <c r="AV343" s="596" t="s">
        <v>306</v>
      </c>
      <c r="AW343" s="596" t="s">
        <v>307</v>
      </c>
      <c r="AX343" s="596" t="s">
        <v>308</v>
      </c>
    </row>
    <row r="344" spans="4:50" x14ac:dyDescent="0.3">
      <c r="D344" s="604" t="s">
        <v>31</v>
      </c>
      <c r="E344" s="594"/>
      <c r="F344" s="151"/>
      <c r="G344" s="86" t="str">
        <f>IF(F344=$P$4,$Q$4,IF(F344=$P$5,$Q$5,IF(F344=$P$6,$Q$6,IF(F344=$P$7,Q$7,IF(F344=$P$8,"","")))))</f>
        <v/>
      </c>
      <c r="H344" s="201"/>
      <c r="I344" s="201"/>
      <c r="J344" s="168" t="s">
        <v>112</v>
      </c>
      <c r="K344" s="148"/>
      <c r="N344" s="200"/>
      <c r="R344" s="596"/>
      <c r="S344" s="596"/>
      <c r="T344" s="596"/>
      <c r="U344" s="596"/>
      <c r="V344" s="596"/>
      <c r="W344" s="596"/>
      <c r="X344" s="596"/>
      <c r="AA344" s="50"/>
      <c r="AD344" s="604" t="s">
        <v>31</v>
      </c>
      <c r="AE344" s="594"/>
      <c r="AF344" s="383"/>
      <c r="AG344" s="86" t="str">
        <f>IF(AF344=$P$4,$Q$4,IF(AF344=$P$5,$Q$5,IF(AF344=$P$6,$Q$6,IF(AF344=$P$7,AQ$7,IF(AF344=$P$8,"","")))))</f>
        <v/>
      </c>
      <c r="AH344" s="201"/>
      <c r="AI344" s="201"/>
      <c r="AJ344" s="168" t="s">
        <v>112</v>
      </c>
      <c r="AK344" s="382"/>
      <c r="AN344" s="200"/>
      <c r="AR344" s="596"/>
      <c r="AS344" s="596"/>
      <c r="AT344" s="596"/>
      <c r="AU344" s="596"/>
      <c r="AV344" s="596"/>
      <c r="AW344" s="596"/>
      <c r="AX344" s="596"/>
    </row>
    <row r="345" spans="4:50" x14ac:dyDescent="0.3">
      <c r="D345" s="244"/>
      <c r="E345" s="230" t="s">
        <v>52</v>
      </c>
      <c r="F345" s="9" t="s">
        <v>32</v>
      </c>
      <c r="G345" s="9" t="s">
        <v>33</v>
      </c>
      <c r="H345" s="9"/>
      <c r="I345" s="9"/>
      <c r="J345" s="9" t="s">
        <v>34</v>
      </c>
      <c r="K345" s="9"/>
      <c r="L345" s="9"/>
      <c r="M345" s="257" t="s">
        <v>35</v>
      </c>
      <c r="N345" s="202"/>
      <c r="O345" s="9"/>
      <c r="P345" s="198" t="s">
        <v>22</v>
      </c>
      <c r="Q345" s="198"/>
      <c r="R345" s="596"/>
      <c r="S345" s="596"/>
      <c r="T345" s="596"/>
      <c r="U345" s="596"/>
      <c r="V345" s="596"/>
      <c r="W345" s="596"/>
      <c r="X345" s="596"/>
      <c r="AA345" s="50"/>
      <c r="AD345" s="244"/>
      <c r="AE345" s="230" t="s">
        <v>52</v>
      </c>
      <c r="AF345" s="9" t="s">
        <v>32</v>
      </c>
      <c r="AG345" s="9" t="s">
        <v>33</v>
      </c>
      <c r="AH345" s="9"/>
      <c r="AI345" s="9"/>
      <c r="AJ345" s="9" t="s">
        <v>34</v>
      </c>
      <c r="AK345" s="9"/>
      <c r="AL345" s="9"/>
      <c r="AM345" s="257" t="s">
        <v>35</v>
      </c>
      <c r="AN345" s="202"/>
      <c r="AO345" s="9"/>
      <c r="AP345" s="198" t="s">
        <v>22</v>
      </c>
      <c r="AQ345" s="198"/>
      <c r="AR345" s="596"/>
      <c r="AS345" s="596"/>
      <c r="AT345" s="596"/>
      <c r="AU345" s="596"/>
      <c r="AV345" s="596"/>
      <c r="AW345" s="596"/>
      <c r="AX345" s="596"/>
    </row>
    <row r="346" spans="4:50" x14ac:dyDescent="0.3">
      <c r="D346" s="244"/>
      <c r="E346" s="355" t="str">
        <f>IF(OR(M346="",M346=0,J346="",G346=""),"",
(IF(AND(F344=$P$4,M346&lt;=$R$4),$V$4,0)+IF(AND(F344=$P$5,M346&lt;=$R$5),$V$5,0)+IF(AND(F344=$P$6,M346&lt;=$R$6),$V$6,0)+IF(AND(F344=$P$7,M346&lt;=$R$7),$V$7,0))
)</f>
        <v/>
      </c>
      <c r="F346" s="153" t="s">
        <v>302</v>
      </c>
      <c r="G346" s="616"/>
      <c r="H346" s="617"/>
      <c r="I346" s="618"/>
      <c r="J346" s="616"/>
      <c r="K346" s="617"/>
      <c r="L346" s="618"/>
      <c r="M346" s="255"/>
      <c r="N346" s="256"/>
      <c r="O346" s="388"/>
      <c r="P346" s="185">
        <f t="shared" ref="P346" si="399">IF(F344="",0,1)</f>
        <v>0</v>
      </c>
      <c r="R346" s="185" t="str">
        <f t="shared" ref="R346" si="400">E346</f>
        <v/>
      </c>
      <c r="S346" s="185" t="str">
        <f t="shared" ref="S346" si="401">E347</f>
        <v/>
      </c>
      <c r="T346" s="185" t="str">
        <f t="shared" ref="T346" si="402">E348</f>
        <v/>
      </c>
      <c r="U346" s="185" t="str">
        <f t="shared" ref="U346" si="403">E349</f>
        <v/>
      </c>
      <c r="V346" s="185" t="str">
        <f t="shared" ref="V346" si="404">E350</f>
        <v/>
      </c>
      <c r="W346" s="185" t="str">
        <f t="shared" ref="W346" si="405">E351</f>
        <v/>
      </c>
      <c r="X346" s="185" t="str">
        <f t="shared" ref="X346" si="406">E352</f>
        <v/>
      </c>
      <c r="AA346" s="50"/>
      <c r="AD346" s="244"/>
      <c r="AE346" s="355" t="str">
        <f>IF(OR(AM346="",AM346=0,AJ346="",AG346=""),"",
(IF(AND(AF344=$P$4,AM346&lt;=$R$4),$V$4,0)+IF(AND(AF344=$P$5,AM346&lt;=$R$5),$V$5,0)+IF(AND(AF344=$P$6,AM346&lt;=$R$6),$V$6,0)+IF(AND(AF344=$P$7,AM346&lt;=$R$7),$V$7,0))
)</f>
        <v/>
      </c>
      <c r="AF346" s="153" t="s">
        <v>302</v>
      </c>
      <c r="AG346" s="598"/>
      <c r="AH346" s="599"/>
      <c r="AI346" s="600"/>
      <c r="AJ346" s="598"/>
      <c r="AK346" s="599"/>
      <c r="AL346" s="600"/>
      <c r="AM346" s="384"/>
      <c r="AN346" s="256"/>
      <c r="AO346" s="388"/>
      <c r="AP346" s="185">
        <f t="shared" ref="AP346" si="407">IF(AF344="",0,1)</f>
        <v>0</v>
      </c>
      <c r="AR346" s="185" t="str">
        <f t="shared" ref="AR346" si="408">AE346</f>
        <v/>
      </c>
      <c r="AS346" s="185" t="str">
        <f t="shared" ref="AS346" si="409">AE347</f>
        <v/>
      </c>
      <c r="AT346" s="185" t="str">
        <f t="shared" ref="AT346" si="410">AE348</f>
        <v/>
      </c>
      <c r="AU346" s="185" t="str">
        <f t="shared" ref="AU346" si="411">AE349</f>
        <v/>
      </c>
      <c r="AV346" s="185" t="str">
        <f t="shared" ref="AV346" si="412">AE350</f>
        <v/>
      </c>
      <c r="AW346" s="185" t="str">
        <f t="shared" ref="AW346" si="413">AE351</f>
        <v/>
      </c>
      <c r="AX346" s="185" t="str">
        <f t="shared" ref="AX346" si="414">AE352</f>
        <v/>
      </c>
    </row>
    <row r="347" spans="4:50" x14ac:dyDescent="0.3">
      <c r="D347" s="244"/>
      <c r="E347" s="341" t="str">
        <f>IF(OR(M347="",M347=0,J347="",G347=""),"",
(IF(AND(F344=$P$4,M347&lt;=$R$4),$V$4,0)+IF(AND(F344=$P$5,M347&lt;=$R$5),$V$5,0)+IF(AND(F344=$P$6,M347&lt;=$R$6),$V$6,0)+IF(AND(F344=$P$7,M347&lt;=$R$7),$V$7,0))
)</f>
        <v/>
      </c>
      <c r="F347" s="153" t="s">
        <v>303</v>
      </c>
      <c r="G347" s="616"/>
      <c r="H347" s="617"/>
      <c r="I347" s="618"/>
      <c r="J347" s="616"/>
      <c r="K347" s="617"/>
      <c r="L347" s="618"/>
      <c r="M347" s="255"/>
      <c r="N347" s="256"/>
      <c r="O347" s="388"/>
      <c r="AA347" s="50"/>
      <c r="AD347" s="244"/>
      <c r="AE347" s="341" t="str">
        <f>IF(OR(AM347="",AM347=0,AJ347="",AG347=""),"",
(IF(AND(AF344=$P$4,AM347&lt;=$R$4),$V$4,0)+IF(AND(AF344=$P$5,AM347&lt;=$R$5),$V$5,0)+IF(AND(AF344=$P$6,AM347&lt;=$R$6),$V$6,0)+IF(AND(AF344=$P$7,AM347&lt;=$R$7),$V$7,0))
)</f>
        <v/>
      </c>
      <c r="AF347" s="153" t="s">
        <v>303</v>
      </c>
      <c r="AG347" s="598"/>
      <c r="AH347" s="599"/>
      <c r="AI347" s="600"/>
      <c r="AJ347" s="598"/>
      <c r="AK347" s="599"/>
      <c r="AL347" s="600"/>
      <c r="AM347" s="384"/>
      <c r="AN347" s="256"/>
      <c r="AO347" s="388"/>
    </row>
    <row r="348" spans="4:50" ht="15" customHeight="1" x14ac:dyDescent="0.3">
      <c r="D348" s="244"/>
      <c r="E348" s="341" t="str">
        <f>IF(OR(M348="",M348=0,J348="",G348=""),"",
(IF(AND(F344=$P$4,M348&lt;=$R$4),$V$4,0)+IF(AND(F344=$P$5,M348&lt;=$R$5),$V$5,0)+IF(AND(F344=$P$6,M348&lt;=$R$6),$V$6,0)+IF(AND(F344=$P$7,M348&lt;=$R$7),$V$7,0))
)</f>
        <v/>
      </c>
      <c r="F348" s="153" t="s">
        <v>304</v>
      </c>
      <c r="G348" s="616"/>
      <c r="H348" s="617"/>
      <c r="I348" s="618"/>
      <c r="J348" s="616"/>
      <c r="K348" s="617"/>
      <c r="L348" s="618"/>
      <c r="M348" s="255"/>
      <c r="N348" s="256"/>
      <c r="O348" s="388"/>
      <c r="AA348" s="50"/>
      <c r="AD348" s="244"/>
      <c r="AE348" s="341" t="str">
        <f>IF(OR(AM348="",AM348=0,AJ348="",AG348=""),"",
(IF(AND(AF344=$P$4,AM348&lt;=$R$4),$V$4,0)+IF(AND(AF344=$P$5,AM348&lt;=$R$5),$V$5,0)+IF(AND(AF344=$P$6,AM348&lt;=$R$6),$V$6,0)+IF(AND(AF344=$P$7,AM348&lt;=$R$7),$V$7,0))
)</f>
        <v/>
      </c>
      <c r="AF348" s="153" t="s">
        <v>304</v>
      </c>
      <c r="AG348" s="598"/>
      <c r="AH348" s="599"/>
      <c r="AI348" s="600"/>
      <c r="AJ348" s="598"/>
      <c r="AK348" s="599"/>
      <c r="AL348" s="600"/>
      <c r="AM348" s="384"/>
      <c r="AN348" s="256"/>
      <c r="AO348" s="388"/>
    </row>
    <row r="349" spans="4:50" ht="15" customHeight="1" x14ac:dyDescent="0.3">
      <c r="D349" s="244"/>
      <c r="E349" s="341" t="str">
        <f>IF(OR(M349="",M349=0,J349="",G349=""),"",
(IF(AND(F344=$P$4,M349&lt;=$R$4),$V$4,0)+IF(AND(F344=$P$5,M349&lt;=$R$5),$V$5,0)+IF(AND(F344=$P$6,M349&lt;=$R$6),$V$6,0)+IF(AND(F344=$P$7,M349&lt;=$R$7),$V$7,0))
)</f>
        <v/>
      </c>
      <c r="F349" s="153" t="s">
        <v>305</v>
      </c>
      <c r="G349" s="616"/>
      <c r="H349" s="617"/>
      <c r="I349" s="618"/>
      <c r="J349" s="616"/>
      <c r="K349" s="617"/>
      <c r="L349" s="618"/>
      <c r="M349" s="255"/>
      <c r="N349" s="256"/>
      <c r="O349" s="388"/>
      <c r="AA349" s="50"/>
      <c r="AD349" s="244"/>
      <c r="AE349" s="341" t="str">
        <f>IF(OR(AM349="",AM349=0,AJ349="",AG349=""),"",
(IF(AND(AF344=$P$4,AM349&lt;=$R$4),$V$4,0)+IF(AND(AF344=$P$5,AM349&lt;=$R$5),$V$5,0)+IF(AND(AF344=$P$6,AM349&lt;=$R$6),$V$6,0)+IF(AND(AF344=$P$7,AM349&lt;=$R$7),$V$7,0))
)</f>
        <v/>
      </c>
      <c r="AF349" s="153" t="s">
        <v>305</v>
      </c>
      <c r="AG349" s="598"/>
      <c r="AH349" s="599"/>
      <c r="AI349" s="600"/>
      <c r="AJ349" s="598"/>
      <c r="AK349" s="599"/>
      <c r="AL349" s="600"/>
      <c r="AM349" s="384"/>
      <c r="AN349" s="256"/>
      <c r="AO349" s="388"/>
    </row>
    <row r="350" spans="4:50" ht="15" customHeight="1" x14ac:dyDescent="0.3">
      <c r="D350" s="244"/>
      <c r="E350" s="341" t="str">
        <f>IF(OR(M350="",M350=0,J350="",G350=""),"",
(IF(AND(F344=$P$4,M350&lt;=$R$4),$V$4,0)+IF(AND(F344=$P$5,M350&lt;=$R$5),$V$5,0)+IF(AND(F344=$P$6,M350&lt;=$R$6),$V$6,0)+IF(AND(F344=$P$7,M350&lt;=$R$7),$V$7,0))
)</f>
        <v/>
      </c>
      <c r="F350" s="153" t="s">
        <v>306</v>
      </c>
      <c r="G350" s="616"/>
      <c r="H350" s="617"/>
      <c r="I350" s="618"/>
      <c r="J350" s="616"/>
      <c r="K350" s="617"/>
      <c r="L350" s="618"/>
      <c r="M350" s="255"/>
      <c r="N350" s="256"/>
      <c r="O350" s="388"/>
      <c r="AA350" s="50"/>
      <c r="AD350" s="244"/>
      <c r="AE350" s="341" t="str">
        <f>IF(OR(AM350="",AM350=0,AJ350="",AG350=""),"",
(IF(AND(AF344=$P$4,AM350&lt;=$R$4),$V$4,0)+IF(AND(AF344=$P$5,AM350&lt;=$R$5),$V$5,0)+IF(AND(AF344=$P$6,AM350&lt;=$R$6),$V$6,0)+IF(AND(AF344=$P$7,AM350&lt;=$R$7),$V$7,0))
)</f>
        <v/>
      </c>
      <c r="AF350" s="153" t="s">
        <v>306</v>
      </c>
      <c r="AG350" s="598"/>
      <c r="AH350" s="599"/>
      <c r="AI350" s="600"/>
      <c r="AJ350" s="598"/>
      <c r="AK350" s="599"/>
      <c r="AL350" s="600"/>
      <c r="AM350" s="384"/>
      <c r="AN350" s="256"/>
      <c r="AO350" s="388"/>
    </row>
    <row r="351" spans="4:50" ht="15" customHeight="1" x14ac:dyDescent="0.3">
      <c r="D351" s="244"/>
      <c r="E351" s="341" t="str">
        <f>IF(OR(M351="",M351=0,J351="",G351=""),"",
(IF(AND(F344=$P$4,M351&lt;=$R$4),$V$4,0)+IF(AND(F344=$P$5,M351&lt;=$R$5),$V$5,0)+IF(AND(F344=$P$6,M351&lt;=$R$6),$V$6,0)+IF(AND(F344=$P$7,M351&lt;=$R$7),$V$7,0))
)</f>
        <v/>
      </c>
      <c r="F351" s="153" t="s">
        <v>307</v>
      </c>
      <c r="G351" s="616"/>
      <c r="H351" s="617"/>
      <c r="I351" s="618"/>
      <c r="J351" s="616"/>
      <c r="K351" s="617"/>
      <c r="L351" s="618"/>
      <c r="M351" s="255"/>
      <c r="N351" s="256"/>
      <c r="O351" s="388"/>
      <c r="AA351" s="50"/>
      <c r="AD351" s="244"/>
      <c r="AE351" s="341" t="str">
        <f>IF(OR(AM351="",AM351=0,AJ351="",AG351=""),"",
(IF(AND(AF344=$P$4,AM351&lt;=$R$4),$V$4,0)+IF(AND(AF344=$P$5,AM351&lt;=$R$5),$V$5,0)+IF(AND(AF344=$P$6,AM351&lt;=$R$6),$V$6,0)+IF(AND(AF344=$P$7,AM351&lt;=$R$7),$V$7,0))
)</f>
        <v/>
      </c>
      <c r="AF351" s="153" t="s">
        <v>307</v>
      </c>
      <c r="AG351" s="598"/>
      <c r="AH351" s="599"/>
      <c r="AI351" s="600"/>
      <c r="AJ351" s="598"/>
      <c r="AK351" s="599"/>
      <c r="AL351" s="600"/>
      <c r="AM351" s="384"/>
      <c r="AN351" s="256"/>
      <c r="AO351" s="388"/>
    </row>
    <row r="352" spans="4:50" ht="15" customHeight="1" x14ac:dyDescent="0.3">
      <c r="D352" s="244"/>
      <c r="E352" s="341" t="str">
        <f>IF(OR(M352="",M352=0,J352="",G352=""),"",
(IF(AND(F344=$P$4,M352&lt;=$R$4),$V$4,0)+IF(AND(F344=$P$5,M352&lt;=$R$5),$V$5,0)+IF(AND(F344=$P$6,M352&lt;=$R$6),$V$6,0)+IF(AND(F344=$P$7,M352&lt;=$R$7),$V$7,0))
)</f>
        <v/>
      </c>
      <c r="F352" s="153" t="s">
        <v>308</v>
      </c>
      <c r="G352" s="616"/>
      <c r="H352" s="617"/>
      <c r="I352" s="618"/>
      <c r="J352" s="616"/>
      <c r="K352" s="617"/>
      <c r="L352" s="618"/>
      <c r="M352" s="255"/>
      <c r="N352" s="256"/>
      <c r="O352" s="388"/>
      <c r="AA352" s="50"/>
      <c r="AD352" s="244"/>
      <c r="AE352" s="341" t="str">
        <f>IF(OR(AM352="",AM352=0,AJ352="",AG352=""),"",
(IF(AND(AF344=$P$4,AM352&lt;=$R$4),$V$4,0)+IF(AND(AF344=$P$5,AM352&lt;=$R$5),$V$5,0)+IF(AND(AF344=$P$6,AM352&lt;=$R$6),$V$6,0)+IF(AND(AF344=$P$7,AM352&lt;=$R$7),$V$7,0))
)</f>
        <v/>
      </c>
      <c r="AF352" s="153" t="s">
        <v>308</v>
      </c>
      <c r="AG352" s="598"/>
      <c r="AH352" s="599"/>
      <c r="AI352" s="600"/>
      <c r="AJ352" s="598"/>
      <c r="AK352" s="599"/>
      <c r="AL352" s="600"/>
      <c r="AM352" s="384"/>
      <c r="AN352" s="256"/>
      <c r="AO352" s="388"/>
    </row>
    <row r="353" spans="4:50" ht="15" customHeight="1" thickBot="1" x14ac:dyDescent="0.35">
      <c r="D353" s="203"/>
      <c r="E353" s="3"/>
      <c r="F353" s="3"/>
      <c r="G353" s="3"/>
      <c r="H353" s="3"/>
      <c r="I353" s="3"/>
      <c r="J353" s="3"/>
      <c r="K353" s="3"/>
      <c r="L353" s="3"/>
      <c r="M353" s="3"/>
      <c r="N353" s="204"/>
      <c r="P353" s="2"/>
      <c r="AA353" s="50"/>
      <c r="AD353" s="203"/>
      <c r="AE353" s="3"/>
      <c r="AF353" s="3"/>
      <c r="AG353" s="3"/>
      <c r="AH353" s="3"/>
      <c r="AI353" s="3"/>
      <c r="AJ353" s="3"/>
      <c r="AK353" s="3"/>
      <c r="AL353" s="3"/>
      <c r="AM353" s="3"/>
      <c r="AN353" s="204"/>
      <c r="AP353" s="2"/>
    </row>
    <row r="354" spans="4:50" ht="15" customHeight="1" x14ac:dyDescent="0.3">
      <c r="D354" s="601" t="str">
        <f>IF(
OR(
OR(F356=$P$4,F356=$P$5,F356=$P$6,F356=$P$7),AND(G358="",G359="",G360="",G361="",G362="",G363="",G364="",J358="",J359="",J360="",J361="",J362="",J363="",J364="",M358="",M359="",M360="",M361="",M362="",M363="",M364="",K355="",K356="")
),
"",
"A Set-Aside must be selected."
)</f>
        <v/>
      </c>
      <c r="E354" s="602"/>
      <c r="F354" s="602"/>
      <c r="G354" s="602"/>
      <c r="H354" s="602"/>
      <c r="I354" s="602"/>
      <c r="J354" s="602"/>
      <c r="K354" s="602"/>
      <c r="L354" s="602"/>
      <c r="M354" s="602"/>
      <c r="N354" s="603"/>
      <c r="O354" s="2"/>
      <c r="AA354" s="50"/>
      <c r="AD354" s="601" t="str">
        <f>IF(
OR(
OR(AF356=$P$4,AF356=$P$5,AF356=$P$6,AF356=$P$7),AND(AG358="",AG359="",AG360="",AG361="",AG362="",AG363="",AG364="",AJ358="",AJ359="",AJ360="",AJ361="",AJ362="",AJ363="",AJ364="",AM358="",AM359="",AM360="",AM361="",AM362="",AM363="",AM364="",AK355="",AK356="")
),
"",
"A Set-Aside must be selected."
)</f>
        <v/>
      </c>
      <c r="AE354" s="602"/>
      <c r="AF354" s="602"/>
      <c r="AG354" s="602"/>
      <c r="AH354" s="602"/>
      <c r="AI354" s="602"/>
      <c r="AJ354" s="602"/>
      <c r="AK354" s="602"/>
      <c r="AL354" s="602"/>
      <c r="AM354" s="602"/>
      <c r="AN354" s="603"/>
      <c r="AO354" s="2"/>
    </row>
    <row r="355" spans="4:50" ht="15" customHeight="1" x14ac:dyDescent="0.3">
      <c r="D355" s="199"/>
      <c r="E355" s="9" t="s">
        <v>30</v>
      </c>
      <c r="F355" s="86">
        <f>F343+1</f>
        <v>27</v>
      </c>
      <c r="G355" s="9" t="s">
        <v>175</v>
      </c>
      <c r="H355" s="9"/>
      <c r="I355" s="9"/>
      <c r="J355" s="168" t="s">
        <v>111</v>
      </c>
      <c r="K355" s="148"/>
      <c r="N355" s="200"/>
      <c r="R355" s="596" t="s">
        <v>302</v>
      </c>
      <c r="S355" s="596" t="s">
        <v>303</v>
      </c>
      <c r="T355" s="596" t="s">
        <v>304</v>
      </c>
      <c r="U355" s="596" t="s">
        <v>305</v>
      </c>
      <c r="V355" s="596" t="s">
        <v>306</v>
      </c>
      <c r="W355" s="596" t="s">
        <v>307</v>
      </c>
      <c r="X355" s="596" t="s">
        <v>308</v>
      </c>
      <c r="AA355" s="50"/>
      <c r="AD355" s="199"/>
      <c r="AE355" s="9" t="s">
        <v>30</v>
      </c>
      <c r="AF355" s="86">
        <f>AF343+1</f>
        <v>27</v>
      </c>
      <c r="AG355" s="9" t="s">
        <v>175</v>
      </c>
      <c r="AH355" s="9"/>
      <c r="AI355" s="9"/>
      <c r="AJ355" s="168" t="s">
        <v>111</v>
      </c>
      <c r="AK355" s="382"/>
      <c r="AN355" s="200"/>
      <c r="AR355" s="596" t="s">
        <v>302</v>
      </c>
      <c r="AS355" s="596" t="s">
        <v>303</v>
      </c>
      <c r="AT355" s="596" t="s">
        <v>304</v>
      </c>
      <c r="AU355" s="596" t="s">
        <v>305</v>
      </c>
      <c r="AV355" s="596" t="s">
        <v>306</v>
      </c>
      <c r="AW355" s="596" t="s">
        <v>307</v>
      </c>
      <c r="AX355" s="596" t="s">
        <v>308</v>
      </c>
    </row>
    <row r="356" spans="4:50" x14ac:dyDescent="0.3">
      <c r="D356" s="604" t="s">
        <v>31</v>
      </c>
      <c r="E356" s="594"/>
      <c r="F356" s="151"/>
      <c r="G356" s="86" t="str">
        <f>IF(F356=$P$4,$Q$4,IF(F356=$P$5,$Q$5,IF(F356=$P$6,$Q$6,IF(F356=$P$7,Q$7,IF(F356=$P$8,"","")))))</f>
        <v/>
      </c>
      <c r="H356" s="201"/>
      <c r="I356" s="201"/>
      <c r="J356" s="168" t="s">
        <v>112</v>
      </c>
      <c r="K356" s="148"/>
      <c r="N356" s="200"/>
      <c r="R356" s="596"/>
      <c r="S356" s="596"/>
      <c r="T356" s="596"/>
      <c r="U356" s="596"/>
      <c r="V356" s="596"/>
      <c r="W356" s="596"/>
      <c r="X356" s="596"/>
      <c r="AA356" s="50"/>
      <c r="AD356" s="604" t="s">
        <v>31</v>
      </c>
      <c r="AE356" s="594"/>
      <c r="AF356" s="383"/>
      <c r="AG356" s="86" t="str">
        <f>IF(AF356=$P$4,$Q$4,IF(AF356=$P$5,$Q$5,IF(AF356=$P$6,$Q$6,IF(AF356=$P$7,AQ$7,IF(AF356=$P$8,"","")))))</f>
        <v/>
      </c>
      <c r="AH356" s="201"/>
      <c r="AI356" s="201"/>
      <c r="AJ356" s="168" t="s">
        <v>112</v>
      </c>
      <c r="AK356" s="382"/>
      <c r="AN356" s="200"/>
      <c r="AR356" s="596"/>
      <c r="AS356" s="596"/>
      <c r="AT356" s="596"/>
      <c r="AU356" s="596"/>
      <c r="AV356" s="596"/>
      <c r="AW356" s="596"/>
      <c r="AX356" s="596"/>
    </row>
    <row r="357" spans="4:50" x14ac:dyDescent="0.3">
      <c r="D357" s="244"/>
      <c r="E357" s="230" t="s">
        <v>52</v>
      </c>
      <c r="F357" s="9" t="s">
        <v>32</v>
      </c>
      <c r="G357" s="9" t="s">
        <v>33</v>
      </c>
      <c r="H357" s="9"/>
      <c r="I357" s="9"/>
      <c r="J357" s="9" t="s">
        <v>34</v>
      </c>
      <c r="K357" s="9"/>
      <c r="L357" s="9"/>
      <c r="M357" s="257" t="s">
        <v>35</v>
      </c>
      <c r="N357" s="202"/>
      <c r="O357" s="9"/>
      <c r="P357" s="198" t="s">
        <v>22</v>
      </c>
      <c r="Q357" s="198"/>
      <c r="R357" s="596"/>
      <c r="S357" s="596"/>
      <c r="T357" s="596"/>
      <c r="U357" s="596"/>
      <c r="V357" s="596"/>
      <c r="W357" s="596"/>
      <c r="X357" s="596"/>
      <c r="AA357" s="50"/>
      <c r="AD357" s="244"/>
      <c r="AE357" s="230" t="s">
        <v>52</v>
      </c>
      <c r="AF357" s="9" t="s">
        <v>32</v>
      </c>
      <c r="AG357" s="9" t="s">
        <v>33</v>
      </c>
      <c r="AH357" s="9"/>
      <c r="AI357" s="9"/>
      <c r="AJ357" s="9" t="s">
        <v>34</v>
      </c>
      <c r="AK357" s="9"/>
      <c r="AL357" s="9"/>
      <c r="AM357" s="257" t="s">
        <v>35</v>
      </c>
      <c r="AN357" s="202"/>
      <c r="AO357" s="9"/>
      <c r="AP357" s="198" t="s">
        <v>22</v>
      </c>
      <c r="AQ357" s="198"/>
      <c r="AR357" s="596"/>
      <c r="AS357" s="596"/>
      <c r="AT357" s="596"/>
      <c r="AU357" s="596"/>
      <c r="AV357" s="596"/>
      <c r="AW357" s="596"/>
      <c r="AX357" s="596"/>
    </row>
    <row r="358" spans="4:50" x14ac:dyDescent="0.3">
      <c r="D358" s="244"/>
      <c r="E358" s="355" t="str">
        <f>IF(OR(M358="",M358=0,J358="",G358=""),"",
(IF(AND(F356=$P$4,M358&lt;=$R$4),$V$4,0)+IF(AND(F356=$P$5,M358&lt;=$R$5),$V$5,0)+IF(AND(F356=$P$6,M358&lt;=$R$6),$V$6,0)+IF(AND(F356=$P$7,M358&lt;=$R$7),$V$7,0))
)</f>
        <v/>
      </c>
      <c r="F358" s="153" t="s">
        <v>302</v>
      </c>
      <c r="G358" s="616"/>
      <c r="H358" s="617"/>
      <c r="I358" s="618"/>
      <c r="J358" s="616"/>
      <c r="K358" s="617"/>
      <c r="L358" s="618"/>
      <c r="M358" s="255"/>
      <c r="N358" s="256"/>
      <c r="O358" s="388"/>
      <c r="P358" s="185">
        <f t="shared" ref="P358" si="415">IF(F356="",0,1)</f>
        <v>0</v>
      </c>
      <c r="R358" s="185" t="str">
        <f t="shared" ref="R358" si="416">E358</f>
        <v/>
      </c>
      <c r="S358" s="185" t="str">
        <f t="shared" ref="S358" si="417">E359</f>
        <v/>
      </c>
      <c r="T358" s="185" t="str">
        <f t="shared" ref="T358" si="418">E360</f>
        <v/>
      </c>
      <c r="U358" s="185" t="str">
        <f t="shared" ref="U358" si="419">E361</f>
        <v/>
      </c>
      <c r="V358" s="185" t="str">
        <f t="shared" ref="V358" si="420">E362</f>
        <v/>
      </c>
      <c r="W358" s="185" t="str">
        <f t="shared" ref="W358" si="421">E363</f>
        <v/>
      </c>
      <c r="X358" s="185" t="str">
        <f t="shared" ref="X358" si="422">E364</f>
        <v/>
      </c>
      <c r="AA358" s="50"/>
      <c r="AD358" s="244"/>
      <c r="AE358" s="355" t="str">
        <f>IF(OR(AM358="",AM358=0,AJ358="",AG358=""),"",
(IF(AND(AF356=$P$4,AM358&lt;=$R$4),$V$4,0)+IF(AND(AF356=$P$5,AM358&lt;=$R$5),$V$5,0)+IF(AND(AF356=$P$6,AM358&lt;=$R$6),$V$6,0)+IF(AND(AF356=$P$7,AM358&lt;=$R$7),$V$7,0))
)</f>
        <v/>
      </c>
      <c r="AF358" s="153" t="s">
        <v>302</v>
      </c>
      <c r="AG358" s="598"/>
      <c r="AH358" s="599"/>
      <c r="AI358" s="600"/>
      <c r="AJ358" s="598"/>
      <c r="AK358" s="599"/>
      <c r="AL358" s="600"/>
      <c r="AM358" s="384"/>
      <c r="AN358" s="256"/>
      <c r="AO358" s="388"/>
      <c r="AP358" s="185">
        <f t="shared" ref="AP358" si="423">IF(AF356="",0,1)</f>
        <v>0</v>
      </c>
      <c r="AR358" s="185" t="str">
        <f t="shared" ref="AR358" si="424">AE358</f>
        <v/>
      </c>
      <c r="AS358" s="185" t="str">
        <f t="shared" ref="AS358" si="425">AE359</f>
        <v/>
      </c>
      <c r="AT358" s="185" t="str">
        <f t="shared" ref="AT358" si="426">AE360</f>
        <v/>
      </c>
      <c r="AU358" s="185" t="str">
        <f t="shared" ref="AU358" si="427">AE361</f>
        <v/>
      </c>
      <c r="AV358" s="185" t="str">
        <f t="shared" ref="AV358" si="428">AE362</f>
        <v/>
      </c>
      <c r="AW358" s="185" t="str">
        <f t="shared" ref="AW358" si="429">AE363</f>
        <v/>
      </c>
      <c r="AX358" s="185" t="str">
        <f t="shared" ref="AX358" si="430">AE364</f>
        <v/>
      </c>
    </row>
    <row r="359" spans="4:50" x14ac:dyDescent="0.3">
      <c r="D359" s="244"/>
      <c r="E359" s="341" t="str">
        <f>IF(OR(M359="",M359=0,J359="",G359=""),"",
(IF(AND(F356=$P$4,M359&lt;=$R$4),$V$4,0)+IF(AND(F356=$P$5,M359&lt;=$R$5),$V$5,0)+IF(AND(F356=$P$6,M359&lt;=$R$6),$V$6,0)+IF(AND(F356=$P$7,M359&lt;=$R$7),$V$7,0))
)</f>
        <v/>
      </c>
      <c r="F359" s="153" t="s">
        <v>303</v>
      </c>
      <c r="G359" s="616"/>
      <c r="H359" s="617"/>
      <c r="I359" s="618"/>
      <c r="J359" s="616"/>
      <c r="K359" s="617"/>
      <c r="L359" s="618"/>
      <c r="M359" s="255"/>
      <c r="N359" s="256"/>
      <c r="O359" s="388"/>
      <c r="AA359" s="50"/>
      <c r="AD359" s="244"/>
      <c r="AE359" s="341" t="str">
        <f>IF(OR(AM359="",AM359=0,AJ359="",AG359=""),"",
(IF(AND(AF356=$P$4,AM359&lt;=$R$4),$V$4,0)+IF(AND(AF356=$P$5,AM359&lt;=$R$5),$V$5,0)+IF(AND(AF356=$P$6,AM359&lt;=$R$6),$V$6,0)+IF(AND(AF356=$P$7,AM359&lt;=$R$7),$V$7,0))
)</f>
        <v/>
      </c>
      <c r="AF359" s="153" t="s">
        <v>303</v>
      </c>
      <c r="AG359" s="598"/>
      <c r="AH359" s="599"/>
      <c r="AI359" s="600"/>
      <c r="AJ359" s="598"/>
      <c r="AK359" s="599"/>
      <c r="AL359" s="600"/>
      <c r="AM359" s="384"/>
      <c r="AN359" s="256"/>
      <c r="AO359" s="388"/>
    </row>
    <row r="360" spans="4:50" x14ac:dyDescent="0.3">
      <c r="D360" s="244"/>
      <c r="E360" s="341" t="str">
        <f>IF(OR(M360="",M360=0,J360="",G360=""),"",
(IF(AND(F356=$P$4,M360&lt;=$R$4),$V$4,0)+IF(AND(F356=$P$5,M360&lt;=$R$5),$V$5,0)+IF(AND(F356=$P$6,M360&lt;=$R$6),$V$6,0)+IF(AND(F356=$P$7,M360&lt;=$R$7),$V$7,0))
)</f>
        <v/>
      </c>
      <c r="F360" s="153" t="s">
        <v>304</v>
      </c>
      <c r="G360" s="616"/>
      <c r="H360" s="617"/>
      <c r="I360" s="618"/>
      <c r="J360" s="616"/>
      <c r="K360" s="617"/>
      <c r="L360" s="618"/>
      <c r="M360" s="255"/>
      <c r="N360" s="256"/>
      <c r="O360" s="388"/>
      <c r="AA360" s="50"/>
      <c r="AD360" s="244"/>
      <c r="AE360" s="341" t="str">
        <f>IF(OR(AM360="",AM360=0,AJ360="",AG360=""),"",
(IF(AND(AF356=$P$4,AM360&lt;=$R$4),$V$4,0)+IF(AND(AF356=$P$5,AM360&lt;=$R$5),$V$5,0)+IF(AND(AF356=$P$6,AM360&lt;=$R$6),$V$6,0)+IF(AND(AF356=$P$7,AM360&lt;=$R$7),$V$7,0))
)</f>
        <v/>
      </c>
      <c r="AF360" s="153" t="s">
        <v>304</v>
      </c>
      <c r="AG360" s="598"/>
      <c r="AH360" s="599"/>
      <c r="AI360" s="600"/>
      <c r="AJ360" s="598"/>
      <c r="AK360" s="599"/>
      <c r="AL360" s="600"/>
      <c r="AM360" s="384"/>
      <c r="AN360" s="256"/>
      <c r="AO360" s="388"/>
    </row>
    <row r="361" spans="4:50" ht="15" customHeight="1" x14ac:dyDescent="0.3">
      <c r="D361" s="244"/>
      <c r="E361" s="341" t="str">
        <f>IF(OR(M361="",M361=0,J361="",G361=""),"",
(IF(AND(F356=$P$4,M361&lt;=$R$4),$V$4,0)+IF(AND(F356=$P$5,M361&lt;=$R$5),$V$5,0)+IF(AND(F356=$P$6,M361&lt;=$R$6),$V$6,0)+IF(AND(F356=$P$7,M361&lt;=$R$7),$V$7,0))
)</f>
        <v/>
      </c>
      <c r="F361" s="153" t="s">
        <v>305</v>
      </c>
      <c r="G361" s="616"/>
      <c r="H361" s="617"/>
      <c r="I361" s="618"/>
      <c r="J361" s="616"/>
      <c r="K361" s="617"/>
      <c r="L361" s="618"/>
      <c r="M361" s="255"/>
      <c r="N361" s="256"/>
      <c r="O361" s="388"/>
      <c r="AA361" s="50"/>
      <c r="AD361" s="244"/>
      <c r="AE361" s="341" t="str">
        <f>IF(OR(AM361="",AM361=0,AJ361="",AG361=""),"",
(IF(AND(AF356=$P$4,AM361&lt;=$R$4),$V$4,0)+IF(AND(AF356=$P$5,AM361&lt;=$R$5),$V$5,0)+IF(AND(AF356=$P$6,AM361&lt;=$R$6),$V$6,0)+IF(AND(AF356=$P$7,AM361&lt;=$R$7),$V$7,0))
)</f>
        <v/>
      </c>
      <c r="AF361" s="153" t="s">
        <v>305</v>
      </c>
      <c r="AG361" s="598"/>
      <c r="AH361" s="599"/>
      <c r="AI361" s="600"/>
      <c r="AJ361" s="598"/>
      <c r="AK361" s="599"/>
      <c r="AL361" s="600"/>
      <c r="AM361" s="384"/>
      <c r="AN361" s="256"/>
      <c r="AO361" s="388"/>
    </row>
    <row r="362" spans="4:50" ht="15" customHeight="1" x14ac:dyDescent="0.3">
      <c r="D362" s="244"/>
      <c r="E362" s="341" t="str">
        <f>IF(OR(M362="",M362=0,J362="",G362=""),"",
(IF(AND(F356=$P$4,M362&lt;=$R$4),$V$4,0)+IF(AND(F356=$P$5,M362&lt;=$R$5),$V$5,0)+IF(AND(F356=$P$6,M362&lt;=$R$6),$V$6,0)+IF(AND(F356=$P$7,M362&lt;=$R$7),$V$7,0))
)</f>
        <v/>
      </c>
      <c r="F362" s="153" t="s">
        <v>306</v>
      </c>
      <c r="G362" s="616"/>
      <c r="H362" s="617"/>
      <c r="I362" s="618"/>
      <c r="J362" s="616"/>
      <c r="K362" s="617"/>
      <c r="L362" s="618"/>
      <c r="M362" s="255"/>
      <c r="N362" s="256"/>
      <c r="O362" s="388"/>
      <c r="AA362" s="50"/>
      <c r="AD362" s="244"/>
      <c r="AE362" s="341" t="str">
        <f>IF(OR(AM362="",AM362=0,AJ362="",AG362=""),"",
(IF(AND(AF356=$P$4,AM362&lt;=$R$4),$V$4,0)+IF(AND(AF356=$P$5,AM362&lt;=$R$5),$V$5,0)+IF(AND(AF356=$P$6,AM362&lt;=$R$6),$V$6,0)+IF(AND(AF356=$P$7,AM362&lt;=$R$7),$V$7,0))
)</f>
        <v/>
      </c>
      <c r="AF362" s="153" t="s">
        <v>306</v>
      </c>
      <c r="AG362" s="598"/>
      <c r="AH362" s="599"/>
      <c r="AI362" s="600"/>
      <c r="AJ362" s="598"/>
      <c r="AK362" s="599"/>
      <c r="AL362" s="600"/>
      <c r="AM362" s="384"/>
      <c r="AN362" s="256"/>
      <c r="AO362" s="388"/>
    </row>
    <row r="363" spans="4:50" ht="15" customHeight="1" x14ac:dyDescent="0.3">
      <c r="D363" s="244"/>
      <c r="E363" s="341" t="str">
        <f>IF(OR(M363="",M363=0,J363="",G363=""),"",
(IF(AND(F356=$P$4,M363&lt;=$R$4),$V$4,0)+IF(AND(F356=$P$5,M363&lt;=$R$5),$V$5,0)+IF(AND(F356=$P$6,M363&lt;=$R$6),$V$6,0)+IF(AND(F356=$P$7,M363&lt;=$R$7),$V$7,0))
)</f>
        <v/>
      </c>
      <c r="F363" s="153" t="s">
        <v>307</v>
      </c>
      <c r="G363" s="616"/>
      <c r="H363" s="617"/>
      <c r="I363" s="618"/>
      <c r="J363" s="616"/>
      <c r="K363" s="617"/>
      <c r="L363" s="618"/>
      <c r="M363" s="255"/>
      <c r="N363" s="256"/>
      <c r="O363" s="388"/>
      <c r="AA363" s="50"/>
      <c r="AD363" s="244"/>
      <c r="AE363" s="341" t="str">
        <f>IF(OR(AM363="",AM363=0,AJ363="",AG363=""),"",
(IF(AND(AF356=$P$4,AM363&lt;=$R$4),$V$4,0)+IF(AND(AF356=$P$5,AM363&lt;=$R$5),$V$5,0)+IF(AND(AF356=$P$6,AM363&lt;=$R$6),$V$6,0)+IF(AND(AF356=$P$7,AM363&lt;=$R$7),$V$7,0))
)</f>
        <v/>
      </c>
      <c r="AF363" s="153" t="s">
        <v>307</v>
      </c>
      <c r="AG363" s="598"/>
      <c r="AH363" s="599"/>
      <c r="AI363" s="600"/>
      <c r="AJ363" s="598"/>
      <c r="AK363" s="599"/>
      <c r="AL363" s="600"/>
      <c r="AM363" s="384"/>
      <c r="AN363" s="256"/>
      <c r="AO363" s="388"/>
    </row>
    <row r="364" spans="4:50" ht="15" customHeight="1" x14ac:dyDescent="0.3">
      <c r="D364" s="244"/>
      <c r="E364" s="341" t="str">
        <f>IF(OR(M364="",M364=0,J364="",G364=""),"",
(IF(AND(F356=$P$4,M364&lt;=$R$4),$V$4,0)+IF(AND(F356=$P$5,M364&lt;=$R$5),$V$5,0)+IF(AND(F356=$P$6,M364&lt;=$R$6),$V$6,0)+IF(AND(F356=$P$7,M364&lt;=$R$7),$V$7,0))
)</f>
        <v/>
      </c>
      <c r="F364" s="153" t="s">
        <v>308</v>
      </c>
      <c r="G364" s="616"/>
      <c r="H364" s="617"/>
      <c r="I364" s="618"/>
      <c r="J364" s="616"/>
      <c r="K364" s="617"/>
      <c r="L364" s="618"/>
      <c r="M364" s="255"/>
      <c r="N364" s="256"/>
      <c r="O364" s="388"/>
      <c r="AA364" s="50"/>
      <c r="AD364" s="244"/>
      <c r="AE364" s="341" t="str">
        <f>IF(OR(AM364="",AM364=0,AJ364="",AG364=""),"",
(IF(AND(AF356=$P$4,AM364&lt;=$R$4),$V$4,0)+IF(AND(AF356=$P$5,AM364&lt;=$R$5),$V$5,0)+IF(AND(AF356=$P$6,AM364&lt;=$R$6),$V$6,0)+IF(AND(AF356=$P$7,AM364&lt;=$R$7),$V$7,0))
)</f>
        <v/>
      </c>
      <c r="AF364" s="153" t="s">
        <v>308</v>
      </c>
      <c r="AG364" s="598"/>
      <c r="AH364" s="599"/>
      <c r="AI364" s="600"/>
      <c r="AJ364" s="598"/>
      <c r="AK364" s="599"/>
      <c r="AL364" s="600"/>
      <c r="AM364" s="384"/>
      <c r="AN364" s="256"/>
      <c r="AO364" s="388"/>
    </row>
    <row r="365" spans="4:50" ht="15" customHeight="1" thickBot="1" x14ac:dyDescent="0.35">
      <c r="D365" s="203"/>
      <c r="E365" s="3"/>
      <c r="F365" s="3"/>
      <c r="G365" s="3"/>
      <c r="H365" s="3"/>
      <c r="I365" s="3"/>
      <c r="J365" s="3"/>
      <c r="K365" s="3"/>
      <c r="L365" s="3"/>
      <c r="M365" s="3"/>
      <c r="N365" s="204"/>
      <c r="P365" s="2"/>
      <c r="AA365" s="50"/>
      <c r="AD365" s="203"/>
      <c r="AE365" s="3"/>
      <c r="AF365" s="3"/>
      <c r="AG365" s="3"/>
      <c r="AH365" s="3"/>
      <c r="AI365" s="3"/>
      <c r="AJ365" s="3"/>
      <c r="AK365" s="3"/>
      <c r="AL365" s="3"/>
      <c r="AM365" s="3"/>
      <c r="AN365" s="204"/>
      <c r="AP365" s="2"/>
    </row>
    <row r="366" spans="4:50" ht="15" customHeight="1" x14ac:dyDescent="0.3">
      <c r="D366" s="601" t="str">
        <f>IF(
OR(
OR(F368=$P$4,F368=$P$5,F368=$P$6,F368=$P$7),AND(G370="",G371="",G372="",G373="",G374="",G375="",G376="",J370="",J371="",J372="",J373="",J374="",J375="",J376="",M370="",M371="",M372="",M373="",M374="",M375="",M376="",K367="",K368="")
),
"",
"A Set-Aside must be selected."
)</f>
        <v/>
      </c>
      <c r="E366" s="602"/>
      <c r="F366" s="602"/>
      <c r="G366" s="602"/>
      <c r="H366" s="602"/>
      <c r="I366" s="602"/>
      <c r="J366" s="602"/>
      <c r="K366" s="602"/>
      <c r="L366" s="602"/>
      <c r="M366" s="602"/>
      <c r="N366" s="603"/>
      <c r="O366" s="2"/>
      <c r="AA366" s="50"/>
      <c r="AD366" s="601" t="str">
        <f>IF(
OR(
OR(AF368=$P$4,AF368=$P$5,AF368=$P$6,AF368=$P$7),AND(AG370="",AG371="",AG372="",AG373="",AG374="",AG375="",AG376="",AJ370="",AJ371="",AJ372="",AJ373="",AJ374="",AJ375="",AJ376="",AM370="",AM371="",AM372="",AM373="",AM374="",AM375="",AM376="",AK367="",AK368="")
),
"",
"A Set-Aside must be selected."
)</f>
        <v/>
      </c>
      <c r="AE366" s="602"/>
      <c r="AF366" s="602"/>
      <c r="AG366" s="602"/>
      <c r="AH366" s="602"/>
      <c r="AI366" s="602"/>
      <c r="AJ366" s="602"/>
      <c r="AK366" s="602"/>
      <c r="AL366" s="602"/>
      <c r="AM366" s="602"/>
      <c r="AN366" s="603"/>
      <c r="AO366" s="2"/>
    </row>
    <row r="367" spans="4:50" ht="15" customHeight="1" x14ac:dyDescent="0.3">
      <c r="D367" s="199"/>
      <c r="E367" s="9" t="s">
        <v>30</v>
      </c>
      <c r="F367" s="86">
        <f>F355+1</f>
        <v>28</v>
      </c>
      <c r="G367" s="9" t="s">
        <v>175</v>
      </c>
      <c r="H367" s="9"/>
      <c r="I367" s="9"/>
      <c r="J367" s="168" t="s">
        <v>111</v>
      </c>
      <c r="K367" s="148"/>
      <c r="N367" s="200"/>
      <c r="R367" s="596" t="s">
        <v>302</v>
      </c>
      <c r="S367" s="596" t="s">
        <v>303</v>
      </c>
      <c r="T367" s="596" t="s">
        <v>304</v>
      </c>
      <c r="U367" s="596" t="s">
        <v>305</v>
      </c>
      <c r="V367" s="596" t="s">
        <v>306</v>
      </c>
      <c r="W367" s="596" t="s">
        <v>307</v>
      </c>
      <c r="X367" s="596" t="s">
        <v>308</v>
      </c>
      <c r="AA367" s="50"/>
      <c r="AD367" s="199"/>
      <c r="AE367" s="9" t="s">
        <v>30</v>
      </c>
      <c r="AF367" s="86">
        <f>AF355+1</f>
        <v>28</v>
      </c>
      <c r="AG367" s="9" t="s">
        <v>175</v>
      </c>
      <c r="AH367" s="9"/>
      <c r="AI367" s="9"/>
      <c r="AJ367" s="168" t="s">
        <v>111</v>
      </c>
      <c r="AK367" s="382"/>
      <c r="AN367" s="200"/>
      <c r="AR367" s="596" t="s">
        <v>302</v>
      </c>
      <c r="AS367" s="596" t="s">
        <v>303</v>
      </c>
      <c r="AT367" s="596" t="s">
        <v>304</v>
      </c>
      <c r="AU367" s="596" t="s">
        <v>305</v>
      </c>
      <c r="AV367" s="596" t="s">
        <v>306</v>
      </c>
      <c r="AW367" s="596" t="s">
        <v>307</v>
      </c>
      <c r="AX367" s="596" t="s">
        <v>308</v>
      </c>
    </row>
    <row r="368" spans="4:50" ht="15" customHeight="1" x14ac:dyDescent="0.3">
      <c r="D368" s="604" t="s">
        <v>31</v>
      </c>
      <c r="E368" s="594"/>
      <c r="F368" s="151"/>
      <c r="G368" s="86" t="str">
        <f>IF(F368=$P$4,$Q$4,IF(F368=$P$5,$Q$5,IF(F368=$P$6,$Q$6,IF(F368=$P$7,Q$7,IF(F368=$P$8,"","")))))</f>
        <v/>
      </c>
      <c r="H368" s="201"/>
      <c r="I368" s="201"/>
      <c r="J368" s="168" t="s">
        <v>112</v>
      </c>
      <c r="K368" s="148"/>
      <c r="N368" s="200"/>
      <c r="R368" s="596"/>
      <c r="S368" s="596"/>
      <c r="T368" s="596"/>
      <c r="U368" s="596"/>
      <c r="V368" s="596"/>
      <c r="W368" s="596"/>
      <c r="X368" s="596"/>
      <c r="AA368" s="50"/>
      <c r="AD368" s="604" t="s">
        <v>31</v>
      </c>
      <c r="AE368" s="594"/>
      <c r="AF368" s="383"/>
      <c r="AG368" s="86" t="str">
        <f>IF(AF368=$P$4,$Q$4,IF(AF368=$P$5,$Q$5,IF(AF368=$P$6,$Q$6,IF(AF368=$P$7,AQ$7,IF(AF368=$P$8,"","")))))</f>
        <v/>
      </c>
      <c r="AH368" s="201"/>
      <c r="AI368" s="201"/>
      <c r="AJ368" s="168" t="s">
        <v>112</v>
      </c>
      <c r="AK368" s="382"/>
      <c r="AN368" s="200"/>
      <c r="AR368" s="596"/>
      <c r="AS368" s="596"/>
      <c r="AT368" s="596"/>
      <c r="AU368" s="596"/>
      <c r="AV368" s="596"/>
      <c r="AW368" s="596"/>
      <c r="AX368" s="596"/>
    </row>
    <row r="369" spans="4:50" x14ac:dyDescent="0.3">
      <c r="D369" s="244"/>
      <c r="E369" s="230" t="s">
        <v>52</v>
      </c>
      <c r="F369" s="9" t="s">
        <v>32</v>
      </c>
      <c r="G369" s="9" t="s">
        <v>33</v>
      </c>
      <c r="H369" s="9"/>
      <c r="I369" s="9"/>
      <c r="J369" s="9" t="s">
        <v>34</v>
      </c>
      <c r="K369" s="9"/>
      <c r="L369" s="9"/>
      <c r="M369" s="257" t="s">
        <v>35</v>
      </c>
      <c r="N369" s="202"/>
      <c r="O369" s="9"/>
      <c r="P369" s="198" t="s">
        <v>22</v>
      </c>
      <c r="Q369" s="198"/>
      <c r="R369" s="596"/>
      <c r="S369" s="596"/>
      <c r="T369" s="596"/>
      <c r="U369" s="596"/>
      <c r="V369" s="596"/>
      <c r="W369" s="596"/>
      <c r="X369" s="596"/>
      <c r="AA369" s="50"/>
      <c r="AD369" s="244"/>
      <c r="AE369" s="230" t="s">
        <v>52</v>
      </c>
      <c r="AF369" s="9" t="s">
        <v>32</v>
      </c>
      <c r="AG369" s="9" t="s">
        <v>33</v>
      </c>
      <c r="AH369" s="9"/>
      <c r="AI369" s="9"/>
      <c r="AJ369" s="9" t="s">
        <v>34</v>
      </c>
      <c r="AK369" s="9"/>
      <c r="AL369" s="9"/>
      <c r="AM369" s="257" t="s">
        <v>35</v>
      </c>
      <c r="AN369" s="202"/>
      <c r="AO369" s="9"/>
      <c r="AP369" s="198" t="s">
        <v>22</v>
      </c>
      <c r="AQ369" s="198"/>
      <c r="AR369" s="596"/>
      <c r="AS369" s="596"/>
      <c r="AT369" s="596"/>
      <c r="AU369" s="596"/>
      <c r="AV369" s="596"/>
      <c r="AW369" s="596"/>
      <c r="AX369" s="596"/>
    </row>
    <row r="370" spans="4:50" x14ac:dyDescent="0.3">
      <c r="D370" s="244"/>
      <c r="E370" s="355" t="str">
        <f>IF(OR(M370="",M370=0,J370="",G370=""),"",
(IF(AND(F368=$P$4,M370&lt;=$R$4),$V$4,0)+IF(AND(F368=$P$5,M370&lt;=$R$5),$V$5,0)+IF(AND(F368=$P$6,M370&lt;=$R$6),$V$6,0)+IF(AND(F368=$P$7,M370&lt;=$R$7),$V$7,0))
)</f>
        <v/>
      </c>
      <c r="F370" s="153" t="s">
        <v>302</v>
      </c>
      <c r="G370" s="616"/>
      <c r="H370" s="617"/>
      <c r="I370" s="618"/>
      <c r="J370" s="616"/>
      <c r="K370" s="617"/>
      <c r="L370" s="618"/>
      <c r="M370" s="255"/>
      <c r="N370" s="256"/>
      <c r="O370" s="388"/>
      <c r="P370" s="185">
        <f t="shared" ref="P370" si="431">IF(F368="",0,1)</f>
        <v>0</v>
      </c>
      <c r="R370" s="185" t="str">
        <f t="shared" ref="R370" si="432">E370</f>
        <v/>
      </c>
      <c r="S370" s="185" t="str">
        <f t="shared" ref="S370" si="433">E371</f>
        <v/>
      </c>
      <c r="T370" s="185" t="str">
        <f t="shared" ref="T370" si="434">E372</f>
        <v/>
      </c>
      <c r="U370" s="185" t="str">
        <f t="shared" ref="U370" si="435">E373</f>
        <v/>
      </c>
      <c r="V370" s="185" t="str">
        <f t="shared" ref="V370" si="436">E374</f>
        <v/>
      </c>
      <c r="W370" s="185" t="str">
        <f t="shared" ref="W370" si="437">E375</f>
        <v/>
      </c>
      <c r="X370" s="185" t="str">
        <f t="shared" ref="X370" si="438">E376</f>
        <v/>
      </c>
      <c r="AA370" s="50"/>
      <c r="AD370" s="244"/>
      <c r="AE370" s="355" t="str">
        <f>IF(OR(AM370="",AM370=0,AJ370="",AG370=""),"",
(IF(AND(AF368=$P$4,AM370&lt;=$R$4),$V$4,0)+IF(AND(AF368=$P$5,AM370&lt;=$R$5),$V$5,0)+IF(AND(AF368=$P$6,AM370&lt;=$R$6),$V$6,0)+IF(AND(AF368=$P$7,AM370&lt;=$R$7),$V$7,0))
)</f>
        <v/>
      </c>
      <c r="AF370" s="153" t="s">
        <v>302</v>
      </c>
      <c r="AG370" s="598"/>
      <c r="AH370" s="599"/>
      <c r="AI370" s="600"/>
      <c r="AJ370" s="598"/>
      <c r="AK370" s="599"/>
      <c r="AL370" s="600"/>
      <c r="AM370" s="384"/>
      <c r="AN370" s="256"/>
      <c r="AO370" s="388"/>
      <c r="AP370" s="185">
        <f t="shared" ref="AP370" si="439">IF(AF368="",0,1)</f>
        <v>0</v>
      </c>
      <c r="AR370" s="185" t="str">
        <f t="shared" ref="AR370" si="440">AE370</f>
        <v/>
      </c>
      <c r="AS370" s="185" t="str">
        <f t="shared" ref="AS370" si="441">AE371</f>
        <v/>
      </c>
      <c r="AT370" s="185" t="str">
        <f t="shared" ref="AT370" si="442">AE372</f>
        <v/>
      </c>
      <c r="AU370" s="185" t="str">
        <f t="shared" ref="AU370" si="443">AE373</f>
        <v/>
      </c>
      <c r="AV370" s="185" t="str">
        <f t="shared" ref="AV370" si="444">AE374</f>
        <v/>
      </c>
      <c r="AW370" s="185" t="str">
        <f t="shared" ref="AW370" si="445">AE375</f>
        <v/>
      </c>
      <c r="AX370" s="185" t="str">
        <f t="shared" ref="AX370" si="446">AE376</f>
        <v/>
      </c>
    </row>
    <row r="371" spans="4:50" x14ac:dyDescent="0.3">
      <c r="D371" s="244"/>
      <c r="E371" s="341" t="str">
        <f>IF(OR(M371="",M371=0,J371="",G371=""),"",
(IF(AND(F368=$P$4,M371&lt;=$R$4),$V$4,0)+IF(AND(F368=$P$5,M371&lt;=$R$5),$V$5,0)+IF(AND(F368=$P$6,M371&lt;=$R$6),$V$6,0)+IF(AND(F368=$P$7,M371&lt;=$R$7),$V$7,0))
)</f>
        <v/>
      </c>
      <c r="F371" s="153" t="s">
        <v>303</v>
      </c>
      <c r="G371" s="616"/>
      <c r="H371" s="617"/>
      <c r="I371" s="618"/>
      <c r="J371" s="616"/>
      <c r="K371" s="617"/>
      <c r="L371" s="618"/>
      <c r="M371" s="255"/>
      <c r="N371" s="256"/>
      <c r="O371" s="388"/>
      <c r="AA371" s="50"/>
      <c r="AD371" s="244"/>
      <c r="AE371" s="341" t="str">
        <f>IF(OR(AM371="",AM371=0,AJ371="",AG371=""),"",
(IF(AND(AF368=$P$4,AM371&lt;=$R$4),$V$4,0)+IF(AND(AF368=$P$5,AM371&lt;=$R$5),$V$5,0)+IF(AND(AF368=$P$6,AM371&lt;=$R$6),$V$6,0)+IF(AND(AF368=$P$7,AM371&lt;=$R$7),$V$7,0))
)</f>
        <v/>
      </c>
      <c r="AF371" s="153" t="s">
        <v>303</v>
      </c>
      <c r="AG371" s="598"/>
      <c r="AH371" s="599"/>
      <c r="AI371" s="600"/>
      <c r="AJ371" s="598"/>
      <c r="AK371" s="599"/>
      <c r="AL371" s="600"/>
      <c r="AM371" s="384"/>
      <c r="AN371" s="256"/>
      <c r="AO371" s="388"/>
    </row>
    <row r="372" spans="4:50" x14ac:dyDescent="0.3">
      <c r="D372" s="244"/>
      <c r="E372" s="341" t="str">
        <f>IF(OR(M372="",M372=0,J372="",G372=""),"",
(IF(AND(F368=$P$4,M372&lt;=$R$4),$V$4,0)+IF(AND(F368=$P$5,M372&lt;=$R$5),$V$5,0)+IF(AND(F368=$P$6,M372&lt;=$R$6),$V$6,0)+IF(AND(F368=$P$7,M372&lt;=$R$7),$V$7,0))
)</f>
        <v/>
      </c>
      <c r="F372" s="153" t="s">
        <v>304</v>
      </c>
      <c r="G372" s="616"/>
      <c r="H372" s="617"/>
      <c r="I372" s="618"/>
      <c r="J372" s="616"/>
      <c r="K372" s="617"/>
      <c r="L372" s="618"/>
      <c r="M372" s="255"/>
      <c r="N372" s="256"/>
      <c r="O372" s="388"/>
      <c r="AA372" s="50"/>
      <c r="AD372" s="244"/>
      <c r="AE372" s="341" t="str">
        <f>IF(OR(AM372="",AM372=0,AJ372="",AG372=""),"",
(IF(AND(AF368=$P$4,AM372&lt;=$R$4),$V$4,0)+IF(AND(AF368=$P$5,AM372&lt;=$R$5),$V$5,0)+IF(AND(AF368=$P$6,AM372&lt;=$R$6),$V$6,0)+IF(AND(AF368=$P$7,AM372&lt;=$R$7),$V$7,0))
)</f>
        <v/>
      </c>
      <c r="AF372" s="153" t="s">
        <v>304</v>
      </c>
      <c r="AG372" s="598"/>
      <c r="AH372" s="599"/>
      <c r="AI372" s="600"/>
      <c r="AJ372" s="598"/>
      <c r="AK372" s="599"/>
      <c r="AL372" s="600"/>
      <c r="AM372" s="384"/>
      <c r="AN372" s="256"/>
      <c r="AO372" s="388"/>
    </row>
    <row r="373" spans="4:50" x14ac:dyDescent="0.3">
      <c r="D373" s="244"/>
      <c r="E373" s="341" t="str">
        <f>IF(OR(M373="",M373=0,J373="",G373=""),"",
(IF(AND(F368=$P$4,M373&lt;=$R$4),$V$4,0)+IF(AND(F368=$P$5,M373&lt;=$R$5),$V$5,0)+IF(AND(F368=$P$6,M373&lt;=$R$6),$V$6,0)+IF(AND(F368=$P$7,M373&lt;=$R$7),$V$7,0))
)</f>
        <v/>
      </c>
      <c r="F373" s="153" t="s">
        <v>305</v>
      </c>
      <c r="G373" s="616"/>
      <c r="H373" s="617"/>
      <c r="I373" s="618"/>
      <c r="J373" s="616"/>
      <c r="K373" s="617"/>
      <c r="L373" s="618"/>
      <c r="M373" s="255"/>
      <c r="N373" s="256"/>
      <c r="O373" s="388"/>
      <c r="AA373" s="50"/>
      <c r="AD373" s="244"/>
      <c r="AE373" s="341" t="str">
        <f>IF(OR(AM373="",AM373=0,AJ373="",AG373=""),"",
(IF(AND(AF368=$P$4,AM373&lt;=$R$4),$V$4,0)+IF(AND(AF368=$P$5,AM373&lt;=$R$5),$V$5,0)+IF(AND(AF368=$P$6,AM373&lt;=$R$6),$V$6,0)+IF(AND(AF368=$P$7,AM373&lt;=$R$7),$V$7,0))
)</f>
        <v/>
      </c>
      <c r="AF373" s="153" t="s">
        <v>305</v>
      </c>
      <c r="AG373" s="598"/>
      <c r="AH373" s="599"/>
      <c r="AI373" s="600"/>
      <c r="AJ373" s="598"/>
      <c r="AK373" s="599"/>
      <c r="AL373" s="600"/>
      <c r="AM373" s="384"/>
      <c r="AN373" s="256"/>
      <c r="AO373" s="388"/>
    </row>
    <row r="374" spans="4:50" ht="15" customHeight="1" x14ac:dyDescent="0.3">
      <c r="D374" s="244"/>
      <c r="E374" s="341" t="str">
        <f>IF(OR(M374="",M374=0,J374="",G374=""),"",
(IF(AND(F368=$P$4,M374&lt;=$R$4),$V$4,0)+IF(AND(F368=$P$5,M374&lt;=$R$5),$V$5,0)+IF(AND(F368=$P$6,M374&lt;=$R$6),$V$6,0)+IF(AND(F368=$P$7,M374&lt;=$R$7),$V$7,0))
)</f>
        <v/>
      </c>
      <c r="F374" s="153" t="s">
        <v>306</v>
      </c>
      <c r="G374" s="616"/>
      <c r="H374" s="617"/>
      <c r="I374" s="618"/>
      <c r="J374" s="616"/>
      <c r="K374" s="617"/>
      <c r="L374" s="618"/>
      <c r="M374" s="255"/>
      <c r="N374" s="256"/>
      <c r="O374" s="388"/>
      <c r="AA374" s="50"/>
      <c r="AD374" s="244"/>
      <c r="AE374" s="341" t="str">
        <f>IF(OR(AM374="",AM374=0,AJ374="",AG374=""),"",
(IF(AND(AF368=$P$4,AM374&lt;=$R$4),$V$4,0)+IF(AND(AF368=$P$5,AM374&lt;=$R$5),$V$5,0)+IF(AND(AF368=$P$6,AM374&lt;=$R$6),$V$6,0)+IF(AND(AF368=$P$7,AM374&lt;=$R$7),$V$7,0))
)</f>
        <v/>
      </c>
      <c r="AF374" s="153" t="s">
        <v>306</v>
      </c>
      <c r="AG374" s="598"/>
      <c r="AH374" s="599"/>
      <c r="AI374" s="600"/>
      <c r="AJ374" s="598"/>
      <c r="AK374" s="599"/>
      <c r="AL374" s="600"/>
      <c r="AM374" s="384"/>
      <c r="AN374" s="256"/>
      <c r="AO374" s="388"/>
    </row>
    <row r="375" spans="4:50" ht="15" customHeight="1" x14ac:dyDescent="0.3">
      <c r="D375" s="244"/>
      <c r="E375" s="341" t="str">
        <f>IF(OR(M375="",M375=0,J375="",G375=""),"",
(IF(AND(F368=$P$4,M375&lt;=$R$4),$V$4,0)+IF(AND(F368=$P$5,M375&lt;=$R$5),$V$5,0)+IF(AND(F368=$P$6,M375&lt;=$R$6),$V$6,0)+IF(AND(F368=$P$7,M375&lt;=$R$7),$V$7,0))
)</f>
        <v/>
      </c>
      <c r="F375" s="153" t="s">
        <v>307</v>
      </c>
      <c r="G375" s="616"/>
      <c r="H375" s="617"/>
      <c r="I375" s="618"/>
      <c r="J375" s="616"/>
      <c r="K375" s="617"/>
      <c r="L375" s="618"/>
      <c r="M375" s="255"/>
      <c r="N375" s="256"/>
      <c r="O375" s="388"/>
      <c r="AA375" s="50"/>
      <c r="AD375" s="244"/>
      <c r="AE375" s="341" t="str">
        <f>IF(OR(AM375="",AM375=0,AJ375="",AG375=""),"",
(IF(AND(AF368=$P$4,AM375&lt;=$R$4),$V$4,0)+IF(AND(AF368=$P$5,AM375&lt;=$R$5),$V$5,0)+IF(AND(AF368=$P$6,AM375&lt;=$R$6),$V$6,0)+IF(AND(AF368=$P$7,AM375&lt;=$R$7),$V$7,0))
)</f>
        <v/>
      </c>
      <c r="AF375" s="153" t="s">
        <v>307</v>
      </c>
      <c r="AG375" s="598"/>
      <c r="AH375" s="599"/>
      <c r="AI375" s="600"/>
      <c r="AJ375" s="598"/>
      <c r="AK375" s="599"/>
      <c r="AL375" s="600"/>
      <c r="AM375" s="384"/>
      <c r="AN375" s="256"/>
      <c r="AO375" s="388"/>
    </row>
    <row r="376" spans="4:50" ht="15" customHeight="1" x14ac:dyDescent="0.3">
      <c r="D376" s="244"/>
      <c r="E376" s="341" t="str">
        <f>IF(OR(M376="",M376=0,J376="",G376=""),"",
(IF(AND(F368=$P$4,M376&lt;=$R$4),$V$4,0)+IF(AND(F368=$P$5,M376&lt;=$R$5),$V$5,0)+IF(AND(F368=$P$6,M376&lt;=$R$6),$V$6,0)+IF(AND(F368=$P$7,M376&lt;=$R$7),$V$7,0))
)</f>
        <v/>
      </c>
      <c r="F376" s="153" t="s">
        <v>308</v>
      </c>
      <c r="G376" s="616"/>
      <c r="H376" s="617"/>
      <c r="I376" s="618"/>
      <c r="J376" s="616"/>
      <c r="K376" s="617"/>
      <c r="L376" s="618"/>
      <c r="M376" s="255"/>
      <c r="N376" s="256"/>
      <c r="O376" s="388"/>
      <c r="AA376" s="50"/>
      <c r="AD376" s="244"/>
      <c r="AE376" s="341" t="str">
        <f>IF(OR(AM376="",AM376=0,AJ376="",AG376=""),"",
(IF(AND(AF368=$P$4,AM376&lt;=$R$4),$V$4,0)+IF(AND(AF368=$P$5,AM376&lt;=$R$5),$V$5,0)+IF(AND(AF368=$P$6,AM376&lt;=$R$6),$V$6,0)+IF(AND(AF368=$P$7,AM376&lt;=$R$7),$V$7,0))
)</f>
        <v/>
      </c>
      <c r="AF376" s="153" t="s">
        <v>308</v>
      </c>
      <c r="AG376" s="598"/>
      <c r="AH376" s="599"/>
      <c r="AI376" s="600"/>
      <c r="AJ376" s="598"/>
      <c r="AK376" s="599"/>
      <c r="AL376" s="600"/>
      <c r="AM376" s="384"/>
      <c r="AN376" s="256"/>
      <c r="AO376" s="388"/>
    </row>
    <row r="377" spans="4:50" ht="15" customHeight="1" thickBot="1" x14ac:dyDescent="0.35">
      <c r="D377" s="203"/>
      <c r="E377" s="3"/>
      <c r="F377" s="3"/>
      <c r="G377" s="3"/>
      <c r="H377" s="3"/>
      <c r="I377" s="3"/>
      <c r="J377" s="3"/>
      <c r="K377" s="3"/>
      <c r="L377" s="3"/>
      <c r="M377" s="3"/>
      <c r="N377" s="204"/>
      <c r="P377" s="2"/>
      <c r="AA377" s="50"/>
      <c r="AD377" s="203"/>
      <c r="AE377" s="3"/>
      <c r="AF377" s="3"/>
      <c r="AG377" s="3"/>
      <c r="AH377" s="3"/>
      <c r="AI377" s="3"/>
      <c r="AJ377" s="3"/>
      <c r="AK377" s="3"/>
      <c r="AL377" s="3"/>
      <c r="AM377" s="3"/>
      <c r="AN377" s="204"/>
      <c r="AP377" s="2"/>
    </row>
    <row r="378" spans="4:50" ht="15" customHeight="1" x14ac:dyDescent="0.3">
      <c r="D378" s="601" t="str">
        <f>IF(
OR(
OR(F380=$P$4,F380=$P$5,F380=$P$6,F380=$P$7),AND(G382="",G383="",G384="",G385="",G386="",G387="",G388="",J382="",J383="",J384="",J385="",J386="",J387="",J388="",M382="",M383="",M384="",M385="",M386="",M387="",M388="",K379="",K380="")
),
"",
"A Set-Aside must be selected."
)</f>
        <v/>
      </c>
      <c r="E378" s="602"/>
      <c r="F378" s="602"/>
      <c r="G378" s="602"/>
      <c r="H378" s="602"/>
      <c r="I378" s="602"/>
      <c r="J378" s="602"/>
      <c r="K378" s="602"/>
      <c r="L378" s="602"/>
      <c r="M378" s="602"/>
      <c r="N378" s="603"/>
      <c r="O378" s="2"/>
      <c r="AA378" s="50"/>
      <c r="AD378" s="601" t="str">
        <f>IF(
OR(
OR(AF380=$P$4,AF380=$P$5,AF380=$P$6,AF380=$P$7),AND(AG382="",AG383="",AG384="",AG385="",AG386="",AG387="",AG388="",AJ382="",AJ383="",AJ384="",AJ385="",AJ386="",AJ387="",AJ388="",AM382="",AM383="",AM384="",AM385="",AM386="",AM387="",AM388="",AK379="",AK380="")
),
"",
"A Set-Aside must be selected."
)</f>
        <v/>
      </c>
      <c r="AE378" s="602"/>
      <c r="AF378" s="602"/>
      <c r="AG378" s="602"/>
      <c r="AH378" s="602"/>
      <c r="AI378" s="602"/>
      <c r="AJ378" s="602"/>
      <c r="AK378" s="602"/>
      <c r="AL378" s="602"/>
      <c r="AM378" s="602"/>
      <c r="AN378" s="603"/>
      <c r="AO378" s="2"/>
    </row>
    <row r="379" spans="4:50" ht="15" customHeight="1" x14ac:dyDescent="0.3">
      <c r="D379" s="199"/>
      <c r="E379" s="9" t="s">
        <v>30</v>
      </c>
      <c r="F379" s="86">
        <f>F367+1</f>
        <v>29</v>
      </c>
      <c r="G379" s="9" t="s">
        <v>175</v>
      </c>
      <c r="H379" s="9"/>
      <c r="I379" s="9"/>
      <c r="J379" s="168" t="s">
        <v>111</v>
      </c>
      <c r="K379" s="148"/>
      <c r="N379" s="200"/>
      <c r="R379" s="596" t="s">
        <v>302</v>
      </c>
      <c r="S379" s="596" t="s">
        <v>303</v>
      </c>
      <c r="T379" s="596" t="s">
        <v>304</v>
      </c>
      <c r="U379" s="596" t="s">
        <v>305</v>
      </c>
      <c r="V379" s="596" t="s">
        <v>306</v>
      </c>
      <c r="W379" s="596" t="s">
        <v>307</v>
      </c>
      <c r="X379" s="596" t="s">
        <v>308</v>
      </c>
      <c r="AA379" s="50"/>
      <c r="AD379" s="199"/>
      <c r="AE379" s="9" t="s">
        <v>30</v>
      </c>
      <c r="AF379" s="86">
        <f>AF367+1</f>
        <v>29</v>
      </c>
      <c r="AG379" s="9" t="s">
        <v>175</v>
      </c>
      <c r="AH379" s="9"/>
      <c r="AI379" s="9"/>
      <c r="AJ379" s="168" t="s">
        <v>111</v>
      </c>
      <c r="AK379" s="382"/>
      <c r="AN379" s="200"/>
      <c r="AR379" s="596" t="s">
        <v>302</v>
      </c>
      <c r="AS379" s="596" t="s">
        <v>303</v>
      </c>
      <c r="AT379" s="596" t="s">
        <v>304</v>
      </c>
      <c r="AU379" s="596" t="s">
        <v>305</v>
      </c>
      <c r="AV379" s="596" t="s">
        <v>306</v>
      </c>
      <c r="AW379" s="596" t="s">
        <v>307</v>
      </c>
      <c r="AX379" s="596" t="s">
        <v>308</v>
      </c>
    </row>
    <row r="380" spans="4:50" ht="15" customHeight="1" x14ac:dyDescent="0.3">
      <c r="D380" s="604" t="s">
        <v>31</v>
      </c>
      <c r="E380" s="594"/>
      <c r="F380" s="151"/>
      <c r="G380" s="86" t="str">
        <f>IF(F380=$P$4,$Q$4,IF(F380=$P$5,$Q$5,IF(F380=$P$6,$Q$6,IF(F380=$P$7,Q$7,IF(F380=$P$8,"","")))))</f>
        <v/>
      </c>
      <c r="H380" s="201"/>
      <c r="I380" s="201"/>
      <c r="J380" s="168" t="s">
        <v>112</v>
      </c>
      <c r="K380" s="148"/>
      <c r="N380" s="200"/>
      <c r="R380" s="596"/>
      <c r="S380" s="596"/>
      <c r="T380" s="596"/>
      <c r="U380" s="596"/>
      <c r="V380" s="596"/>
      <c r="W380" s="596"/>
      <c r="X380" s="596"/>
      <c r="AA380" s="50"/>
      <c r="AD380" s="604" t="s">
        <v>31</v>
      </c>
      <c r="AE380" s="594"/>
      <c r="AF380" s="383"/>
      <c r="AG380" s="86" t="str">
        <f>IF(AF380=$P$4,$Q$4,IF(AF380=$P$5,$Q$5,IF(AF380=$P$6,$Q$6,IF(AF380=$P$7,AQ$7,IF(AF380=$P$8,"","")))))</f>
        <v/>
      </c>
      <c r="AH380" s="201"/>
      <c r="AI380" s="201"/>
      <c r="AJ380" s="168" t="s">
        <v>112</v>
      </c>
      <c r="AK380" s="382"/>
      <c r="AN380" s="200"/>
      <c r="AR380" s="596"/>
      <c r="AS380" s="596"/>
      <c r="AT380" s="596"/>
      <c r="AU380" s="596"/>
      <c r="AV380" s="596"/>
      <c r="AW380" s="596"/>
      <c r="AX380" s="596"/>
    </row>
    <row r="381" spans="4:50" ht="15" customHeight="1" x14ac:dyDescent="0.3">
      <c r="D381" s="244"/>
      <c r="E381" s="230" t="s">
        <v>52</v>
      </c>
      <c r="F381" s="9" t="s">
        <v>32</v>
      </c>
      <c r="G381" s="9" t="s">
        <v>33</v>
      </c>
      <c r="H381" s="9"/>
      <c r="I381" s="9"/>
      <c r="J381" s="9" t="s">
        <v>34</v>
      </c>
      <c r="K381" s="9"/>
      <c r="L381" s="9"/>
      <c r="M381" s="257" t="s">
        <v>35</v>
      </c>
      <c r="N381" s="202"/>
      <c r="O381" s="9"/>
      <c r="P381" s="198" t="s">
        <v>22</v>
      </c>
      <c r="Q381" s="198"/>
      <c r="R381" s="596"/>
      <c r="S381" s="596"/>
      <c r="T381" s="596"/>
      <c r="U381" s="596"/>
      <c r="V381" s="596"/>
      <c r="W381" s="596"/>
      <c r="X381" s="596"/>
      <c r="AA381" s="50"/>
      <c r="AD381" s="244"/>
      <c r="AE381" s="230" t="s">
        <v>52</v>
      </c>
      <c r="AF381" s="9" t="s">
        <v>32</v>
      </c>
      <c r="AG381" s="9" t="s">
        <v>33</v>
      </c>
      <c r="AH381" s="9"/>
      <c r="AI381" s="9"/>
      <c r="AJ381" s="9" t="s">
        <v>34</v>
      </c>
      <c r="AK381" s="9"/>
      <c r="AL381" s="9"/>
      <c r="AM381" s="257" t="s">
        <v>35</v>
      </c>
      <c r="AN381" s="202"/>
      <c r="AO381" s="9"/>
      <c r="AP381" s="198" t="s">
        <v>22</v>
      </c>
      <c r="AQ381" s="198"/>
      <c r="AR381" s="596"/>
      <c r="AS381" s="596"/>
      <c r="AT381" s="596"/>
      <c r="AU381" s="596"/>
      <c r="AV381" s="596"/>
      <c r="AW381" s="596"/>
      <c r="AX381" s="596"/>
    </row>
    <row r="382" spans="4:50" x14ac:dyDescent="0.3">
      <c r="D382" s="244"/>
      <c r="E382" s="355" t="str">
        <f>IF(OR(M382="",M382=0,J382="",G382=""),"",
(IF(AND(F380=$P$4,M382&lt;=$R$4),$V$4,0)+IF(AND(F380=$P$5,M382&lt;=$R$5),$V$5,0)+IF(AND(F380=$P$6,M382&lt;=$R$6),$V$6,0)+IF(AND(F380=$P$7,M382&lt;=$R$7),$V$7,0))
)</f>
        <v/>
      </c>
      <c r="F382" s="153" t="s">
        <v>302</v>
      </c>
      <c r="G382" s="616"/>
      <c r="H382" s="617"/>
      <c r="I382" s="618"/>
      <c r="J382" s="616"/>
      <c r="K382" s="617"/>
      <c r="L382" s="618"/>
      <c r="M382" s="255"/>
      <c r="N382" s="256"/>
      <c r="O382" s="388"/>
      <c r="P382" s="185">
        <f t="shared" ref="P382" si="447">IF(F380="",0,1)</f>
        <v>0</v>
      </c>
      <c r="R382" s="185" t="str">
        <f t="shared" ref="R382" si="448">E382</f>
        <v/>
      </c>
      <c r="S382" s="185" t="str">
        <f t="shared" ref="S382" si="449">E383</f>
        <v/>
      </c>
      <c r="T382" s="185" t="str">
        <f t="shared" ref="T382" si="450">E384</f>
        <v/>
      </c>
      <c r="U382" s="185" t="str">
        <f t="shared" ref="U382" si="451">E385</f>
        <v/>
      </c>
      <c r="V382" s="185" t="str">
        <f t="shared" ref="V382" si="452">E386</f>
        <v/>
      </c>
      <c r="W382" s="185" t="str">
        <f t="shared" ref="W382" si="453">E387</f>
        <v/>
      </c>
      <c r="X382" s="185" t="str">
        <f t="shared" ref="X382" si="454">E388</f>
        <v/>
      </c>
      <c r="AA382" s="50"/>
      <c r="AD382" s="244"/>
      <c r="AE382" s="355" t="str">
        <f>IF(OR(AM382="",AM382=0,AJ382="",AG382=""),"",
(IF(AND(AF380=$P$4,AM382&lt;=$R$4),$V$4,0)+IF(AND(AF380=$P$5,AM382&lt;=$R$5),$V$5,0)+IF(AND(AF380=$P$6,AM382&lt;=$R$6),$V$6,0)+IF(AND(AF380=$P$7,AM382&lt;=$R$7),$V$7,0))
)</f>
        <v/>
      </c>
      <c r="AF382" s="153" t="s">
        <v>302</v>
      </c>
      <c r="AG382" s="598"/>
      <c r="AH382" s="599"/>
      <c r="AI382" s="600"/>
      <c r="AJ382" s="598"/>
      <c r="AK382" s="599"/>
      <c r="AL382" s="600"/>
      <c r="AM382" s="384"/>
      <c r="AN382" s="256"/>
      <c r="AO382" s="388"/>
      <c r="AP382" s="185">
        <f t="shared" ref="AP382" si="455">IF(AF380="",0,1)</f>
        <v>0</v>
      </c>
      <c r="AR382" s="185" t="str">
        <f t="shared" ref="AR382" si="456">AE382</f>
        <v/>
      </c>
      <c r="AS382" s="185" t="str">
        <f t="shared" ref="AS382" si="457">AE383</f>
        <v/>
      </c>
      <c r="AT382" s="185" t="str">
        <f t="shared" ref="AT382" si="458">AE384</f>
        <v/>
      </c>
      <c r="AU382" s="185" t="str">
        <f t="shared" ref="AU382" si="459">AE385</f>
        <v/>
      </c>
      <c r="AV382" s="185" t="str">
        <f t="shared" ref="AV382" si="460">AE386</f>
        <v/>
      </c>
      <c r="AW382" s="185" t="str">
        <f t="shared" ref="AW382" si="461">AE387</f>
        <v/>
      </c>
      <c r="AX382" s="185" t="str">
        <f t="shared" ref="AX382" si="462">AE388</f>
        <v/>
      </c>
    </row>
    <row r="383" spans="4:50" x14ac:dyDescent="0.3">
      <c r="D383" s="244"/>
      <c r="E383" s="341" t="str">
        <f>IF(OR(M383="",M383=0,J383="",G383=""),"",
(IF(AND(F380=$P$4,M383&lt;=$R$4),$V$4,0)+IF(AND(F380=$P$5,M383&lt;=$R$5),$V$5,0)+IF(AND(F380=$P$6,M383&lt;=$R$6),$V$6,0)+IF(AND(F380=$P$7,M383&lt;=$R$7),$V$7,0))
)</f>
        <v/>
      </c>
      <c r="F383" s="153" t="s">
        <v>303</v>
      </c>
      <c r="G383" s="616"/>
      <c r="H383" s="617"/>
      <c r="I383" s="618"/>
      <c r="J383" s="616"/>
      <c r="K383" s="617"/>
      <c r="L383" s="618"/>
      <c r="M383" s="255"/>
      <c r="N383" s="256"/>
      <c r="O383" s="388"/>
      <c r="AA383" s="50"/>
      <c r="AD383" s="244"/>
      <c r="AE383" s="341" t="str">
        <f>IF(OR(AM383="",AM383=0,AJ383="",AG383=""),"",
(IF(AND(AF380=$P$4,AM383&lt;=$R$4),$V$4,0)+IF(AND(AF380=$P$5,AM383&lt;=$R$5),$V$5,0)+IF(AND(AF380=$P$6,AM383&lt;=$R$6),$V$6,0)+IF(AND(AF380=$P$7,AM383&lt;=$R$7),$V$7,0))
)</f>
        <v/>
      </c>
      <c r="AF383" s="153" t="s">
        <v>303</v>
      </c>
      <c r="AG383" s="598"/>
      <c r="AH383" s="599"/>
      <c r="AI383" s="600"/>
      <c r="AJ383" s="598"/>
      <c r="AK383" s="599"/>
      <c r="AL383" s="600"/>
      <c r="AM383" s="384"/>
      <c r="AN383" s="256"/>
      <c r="AO383" s="388"/>
    </row>
    <row r="384" spans="4:50" x14ac:dyDescent="0.3">
      <c r="D384" s="244"/>
      <c r="E384" s="341" t="str">
        <f>IF(OR(M384="",M384=0,J384="",G384=""),"",
(IF(AND(F380=$P$4,M384&lt;=$R$4),$V$4,0)+IF(AND(F380=$P$5,M384&lt;=$R$5),$V$5,0)+IF(AND(F380=$P$6,M384&lt;=$R$6),$V$6,0)+IF(AND(F380=$P$7,M384&lt;=$R$7),$V$7,0))
)</f>
        <v/>
      </c>
      <c r="F384" s="153" t="s">
        <v>304</v>
      </c>
      <c r="G384" s="616"/>
      <c r="H384" s="617"/>
      <c r="I384" s="618"/>
      <c r="J384" s="616"/>
      <c r="K384" s="617"/>
      <c r="L384" s="618"/>
      <c r="M384" s="255"/>
      <c r="N384" s="256"/>
      <c r="O384" s="388"/>
      <c r="AA384" s="50"/>
      <c r="AD384" s="244"/>
      <c r="AE384" s="341" t="str">
        <f>IF(OR(AM384="",AM384=0,AJ384="",AG384=""),"",
(IF(AND(AF380=$P$4,AM384&lt;=$R$4),$V$4,0)+IF(AND(AF380=$P$5,AM384&lt;=$R$5),$V$5,0)+IF(AND(AF380=$P$6,AM384&lt;=$R$6),$V$6,0)+IF(AND(AF380=$P$7,AM384&lt;=$R$7),$V$7,0))
)</f>
        <v/>
      </c>
      <c r="AF384" s="153" t="s">
        <v>304</v>
      </c>
      <c r="AG384" s="598"/>
      <c r="AH384" s="599"/>
      <c r="AI384" s="600"/>
      <c r="AJ384" s="598"/>
      <c r="AK384" s="599"/>
      <c r="AL384" s="600"/>
      <c r="AM384" s="384"/>
      <c r="AN384" s="256"/>
      <c r="AO384" s="388"/>
    </row>
    <row r="385" spans="4:50" x14ac:dyDescent="0.3">
      <c r="D385" s="244"/>
      <c r="E385" s="341" t="str">
        <f>IF(OR(M385="",M385=0,J385="",G385=""),"",
(IF(AND(F380=$P$4,M385&lt;=$R$4),$V$4,0)+IF(AND(F380=$P$5,M385&lt;=$R$5),$V$5,0)+IF(AND(F380=$P$6,M385&lt;=$R$6),$V$6,0)+IF(AND(F380=$P$7,M385&lt;=$R$7),$V$7,0))
)</f>
        <v/>
      </c>
      <c r="F385" s="153" t="s">
        <v>305</v>
      </c>
      <c r="G385" s="616"/>
      <c r="H385" s="617"/>
      <c r="I385" s="618"/>
      <c r="J385" s="616"/>
      <c r="K385" s="617"/>
      <c r="L385" s="618"/>
      <c r="M385" s="255"/>
      <c r="N385" s="256"/>
      <c r="O385" s="388"/>
      <c r="AA385" s="50"/>
      <c r="AD385" s="244"/>
      <c r="AE385" s="341" t="str">
        <f>IF(OR(AM385="",AM385=0,AJ385="",AG385=""),"",
(IF(AND(AF380=$P$4,AM385&lt;=$R$4),$V$4,0)+IF(AND(AF380=$P$5,AM385&lt;=$R$5),$V$5,0)+IF(AND(AF380=$P$6,AM385&lt;=$R$6),$V$6,0)+IF(AND(AF380=$P$7,AM385&lt;=$R$7),$V$7,0))
)</f>
        <v/>
      </c>
      <c r="AF385" s="153" t="s">
        <v>305</v>
      </c>
      <c r="AG385" s="598"/>
      <c r="AH385" s="599"/>
      <c r="AI385" s="600"/>
      <c r="AJ385" s="598"/>
      <c r="AK385" s="599"/>
      <c r="AL385" s="600"/>
      <c r="AM385" s="384"/>
      <c r="AN385" s="256"/>
      <c r="AO385" s="388"/>
    </row>
    <row r="386" spans="4:50" x14ac:dyDescent="0.3">
      <c r="D386" s="244"/>
      <c r="E386" s="341" t="str">
        <f>IF(OR(M386="",M386=0,J386="",G386=""),"",
(IF(AND(F380=$P$4,M386&lt;=$R$4),$V$4,0)+IF(AND(F380=$P$5,M386&lt;=$R$5),$V$5,0)+IF(AND(F380=$P$6,M386&lt;=$R$6),$V$6,0)+IF(AND(F380=$P$7,M386&lt;=$R$7),$V$7,0))
)</f>
        <v/>
      </c>
      <c r="F386" s="153" t="s">
        <v>306</v>
      </c>
      <c r="G386" s="616"/>
      <c r="H386" s="617"/>
      <c r="I386" s="618"/>
      <c r="J386" s="616"/>
      <c r="K386" s="617"/>
      <c r="L386" s="618"/>
      <c r="M386" s="255"/>
      <c r="N386" s="256"/>
      <c r="O386" s="388"/>
      <c r="AA386" s="50"/>
      <c r="AD386" s="244"/>
      <c r="AE386" s="341" t="str">
        <f>IF(OR(AM386="",AM386=0,AJ386="",AG386=""),"",
(IF(AND(AF380=$P$4,AM386&lt;=$R$4),$V$4,0)+IF(AND(AF380=$P$5,AM386&lt;=$R$5),$V$5,0)+IF(AND(AF380=$P$6,AM386&lt;=$R$6),$V$6,0)+IF(AND(AF380=$P$7,AM386&lt;=$R$7),$V$7,0))
)</f>
        <v/>
      </c>
      <c r="AF386" s="153" t="s">
        <v>306</v>
      </c>
      <c r="AG386" s="598"/>
      <c r="AH386" s="599"/>
      <c r="AI386" s="600"/>
      <c r="AJ386" s="598"/>
      <c r="AK386" s="599"/>
      <c r="AL386" s="600"/>
      <c r="AM386" s="384"/>
      <c r="AN386" s="256"/>
      <c r="AO386" s="388"/>
    </row>
    <row r="387" spans="4:50" ht="15" customHeight="1" x14ac:dyDescent="0.3">
      <c r="D387" s="244"/>
      <c r="E387" s="341" t="str">
        <f>IF(OR(M387="",M387=0,J387="",G387=""),"",
(IF(AND(F380=$P$4,M387&lt;=$R$4),$V$4,0)+IF(AND(F380=$P$5,M387&lt;=$R$5),$V$5,0)+IF(AND(F380=$P$6,M387&lt;=$R$6),$V$6,0)+IF(AND(F380=$P$7,M387&lt;=$R$7),$V$7,0))
)</f>
        <v/>
      </c>
      <c r="F387" s="153" t="s">
        <v>307</v>
      </c>
      <c r="G387" s="616"/>
      <c r="H387" s="617"/>
      <c r="I387" s="618"/>
      <c r="J387" s="616"/>
      <c r="K387" s="617"/>
      <c r="L387" s="618"/>
      <c r="M387" s="255"/>
      <c r="N387" s="256"/>
      <c r="O387" s="388"/>
      <c r="AA387" s="50"/>
      <c r="AD387" s="244"/>
      <c r="AE387" s="341" t="str">
        <f>IF(OR(AM387="",AM387=0,AJ387="",AG387=""),"",
(IF(AND(AF380=$P$4,AM387&lt;=$R$4),$V$4,0)+IF(AND(AF380=$P$5,AM387&lt;=$R$5),$V$5,0)+IF(AND(AF380=$P$6,AM387&lt;=$R$6),$V$6,0)+IF(AND(AF380=$P$7,AM387&lt;=$R$7),$V$7,0))
)</f>
        <v/>
      </c>
      <c r="AF387" s="153" t="s">
        <v>307</v>
      </c>
      <c r="AG387" s="598"/>
      <c r="AH387" s="599"/>
      <c r="AI387" s="600"/>
      <c r="AJ387" s="598"/>
      <c r="AK387" s="599"/>
      <c r="AL387" s="600"/>
      <c r="AM387" s="384"/>
      <c r="AN387" s="256"/>
      <c r="AO387" s="388"/>
    </row>
    <row r="388" spans="4:50" ht="15" customHeight="1" x14ac:dyDescent="0.3">
      <c r="D388" s="244"/>
      <c r="E388" s="341" t="str">
        <f>IF(OR(M388="",M388=0,J388="",G388=""),"",
(IF(AND(F380=$P$4,M388&lt;=$R$4),$V$4,0)+IF(AND(F380=$P$5,M388&lt;=$R$5),$V$5,0)+IF(AND(F380=$P$6,M388&lt;=$R$6),$V$6,0)+IF(AND(F380=$P$7,M388&lt;=$R$7),$V$7,0))
)</f>
        <v/>
      </c>
      <c r="F388" s="153" t="s">
        <v>308</v>
      </c>
      <c r="G388" s="616"/>
      <c r="H388" s="617"/>
      <c r="I388" s="618"/>
      <c r="J388" s="616"/>
      <c r="K388" s="617"/>
      <c r="L388" s="618"/>
      <c r="M388" s="255"/>
      <c r="N388" s="256"/>
      <c r="O388" s="388"/>
      <c r="AA388" s="50"/>
      <c r="AD388" s="244"/>
      <c r="AE388" s="341" t="str">
        <f>IF(OR(AM388="",AM388=0,AJ388="",AG388=""),"",
(IF(AND(AF380=$P$4,AM388&lt;=$R$4),$V$4,0)+IF(AND(AF380=$P$5,AM388&lt;=$R$5),$V$5,0)+IF(AND(AF380=$P$6,AM388&lt;=$R$6),$V$6,0)+IF(AND(AF380=$P$7,AM388&lt;=$R$7),$V$7,0))
)</f>
        <v/>
      </c>
      <c r="AF388" s="153" t="s">
        <v>308</v>
      </c>
      <c r="AG388" s="598"/>
      <c r="AH388" s="599"/>
      <c r="AI388" s="600"/>
      <c r="AJ388" s="598"/>
      <c r="AK388" s="599"/>
      <c r="AL388" s="600"/>
      <c r="AM388" s="384"/>
      <c r="AN388" s="256"/>
      <c r="AO388" s="388"/>
    </row>
    <row r="389" spans="4:50" ht="15" customHeight="1" thickBot="1" x14ac:dyDescent="0.35">
      <c r="D389" s="203"/>
      <c r="E389" s="3"/>
      <c r="F389" s="3"/>
      <c r="G389" s="3"/>
      <c r="H389" s="3"/>
      <c r="I389" s="3"/>
      <c r="J389" s="3"/>
      <c r="K389" s="3"/>
      <c r="L389" s="3"/>
      <c r="M389" s="3"/>
      <c r="N389" s="204"/>
      <c r="P389" s="2"/>
      <c r="AA389" s="50"/>
      <c r="AD389" s="203"/>
      <c r="AE389" s="3"/>
      <c r="AF389" s="3"/>
      <c r="AG389" s="3"/>
      <c r="AH389" s="3"/>
      <c r="AI389" s="3"/>
      <c r="AJ389" s="3"/>
      <c r="AK389" s="3"/>
      <c r="AL389" s="3"/>
      <c r="AM389" s="3"/>
      <c r="AN389" s="204"/>
      <c r="AP389" s="2"/>
    </row>
    <row r="390" spans="4:50" ht="15" customHeight="1" x14ac:dyDescent="0.3">
      <c r="D390" s="601" t="str">
        <f>IF(
OR(
OR(F392=$P$4,F392=$P$5,F392=$P$6,F392=$P$7),AND(G394="",G395="",G396="",G397="",G398="",G399="",G400="",J394="",J395="",J396="",J397="",J398="",J399="",J400="",M394="",M395="",M396="",M397="",M398="",M399="",M400="",K391="",K392="")
),
"",
"A Set-Aside must be selected."
)</f>
        <v/>
      </c>
      <c r="E390" s="602"/>
      <c r="F390" s="602"/>
      <c r="G390" s="602"/>
      <c r="H390" s="602"/>
      <c r="I390" s="602"/>
      <c r="J390" s="602"/>
      <c r="K390" s="602"/>
      <c r="L390" s="602"/>
      <c r="M390" s="602"/>
      <c r="N390" s="603"/>
      <c r="O390" s="2"/>
      <c r="AA390" s="50"/>
      <c r="AD390" s="601" t="str">
        <f>IF(
OR(
OR(AF392=$P$4,AF392=$P$5,AF392=$P$6,AF392=$P$7),AND(AG394="",AG395="",AG396="",AG397="",AG398="",AG399="",AG400="",AJ394="",AJ395="",AJ396="",AJ397="",AJ398="",AJ399="",AJ400="",AM394="",AM395="",AM396="",AM397="",AM398="",AM399="",AM400="",AK391="",AK392="")
),
"",
"A Set-Aside must be selected."
)</f>
        <v/>
      </c>
      <c r="AE390" s="602"/>
      <c r="AF390" s="602"/>
      <c r="AG390" s="602"/>
      <c r="AH390" s="602"/>
      <c r="AI390" s="602"/>
      <c r="AJ390" s="602"/>
      <c r="AK390" s="602"/>
      <c r="AL390" s="602"/>
      <c r="AM390" s="602"/>
      <c r="AN390" s="603"/>
      <c r="AO390" s="2"/>
    </row>
    <row r="391" spans="4:50" ht="15" customHeight="1" x14ac:dyDescent="0.3">
      <c r="D391" s="199"/>
      <c r="E391" s="9" t="s">
        <v>30</v>
      </c>
      <c r="F391" s="86">
        <f>F379+1</f>
        <v>30</v>
      </c>
      <c r="G391" s="9" t="s">
        <v>175</v>
      </c>
      <c r="H391" s="9"/>
      <c r="I391" s="9"/>
      <c r="J391" s="168" t="s">
        <v>111</v>
      </c>
      <c r="K391" s="148"/>
      <c r="N391" s="200"/>
      <c r="R391" s="596" t="s">
        <v>302</v>
      </c>
      <c r="S391" s="596" t="s">
        <v>303</v>
      </c>
      <c r="T391" s="596" t="s">
        <v>304</v>
      </c>
      <c r="U391" s="596" t="s">
        <v>305</v>
      </c>
      <c r="V391" s="596" t="s">
        <v>306</v>
      </c>
      <c r="W391" s="596" t="s">
        <v>307</v>
      </c>
      <c r="X391" s="596" t="s">
        <v>308</v>
      </c>
      <c r="AA391" s="50"/>
      <c r="AD391" s="199"/>
      <c r="AE391" s="9" t="s">
        <v>30</v>
      </c>
      <c r="AF391" s="86">
        <f>AF379+1</f>
        <v>30</v>
      </c>
      <c r="AG391" s="9" t="s">
        <v>175</v>
      </c>
      <c r="AH391" s="9"/>
      <c r="AI391" s="9"/>
      <c r="AJ391" s="168" t="s">
        <v>111</v>
      </c>
      <c r="AK391" s="382"/>
      <c r="AN391" s="200"/>
      <c r="AR391" s="596" t="s">
        <v>302</v>
      </c>
      <c r="AS391" s="596" t="s">
        <v>303</v>
      </c>
      <c r="AT391" s="596" t="s">
        <v>304</v>
      </c>
      <c r="AU391" s="596" t="s">
        <v>305</v>
      </c>
      <c r="AV391" s="596" t="s">
        <v>306</v>
      </c>
      <c r="AW391" s="596" t="s">
        <v>307</v>
      </c>
      <c r="AX391" s="596" t="s">
        <v>308</v>
      </c>
    </row>
    <row r="392" spans="4:50" ht="15" customHeight="1" x14ac:dyDescent="0.3">
      <c r="D392" s="604" t="s">
        <v>31</v>
      </c>
      <c r="E392" s="594"/>
      <c r="F392" s="151"/>
      <c r="G392" s="86" t="str">
        <f>IF(F392=$P$4,$Q$4,IF(F392=$P$5,$Q$5,IF(F392=$P$6,$Q$6,IF(F392=$P$7,Q$7,IF(F392=$P$8,"","")))))</f>
        <v/>
      </c>
      <c r="H392" s="201"/>
      <c r="I392" s="201"/>
      <c r="J392" s="168" t="s">
        <v>112</v>
      </c>
      <c r="K392" s="148"/>
      <c r="N392" s="200"/>
      <c r="R392" s="596"/>
      <c r="S392" s="596"/>
      <c r="T392" s="596"/>
      <c r="U392" s="596"/>
      <c r="V392" s="596"/>
      <c r="W392" s="596"/>
      <c r="X392" s="596"/>
      <c r="AA392" s="50"/>
      <c r="AD392" s="604" t="s">
        <v>31</v>
      </c>
      <c r="AE392" s="594"/>
      <c r="AF392" s="383"/>
      <c r="AG392" s="86" t="str">
        <f>IF(AF392=$P$4,$Q$4,IF(AF392=$P$5,$Q$5,IF(AF392=$P$6,$Q$6,IF(AF392=$P$7,AQ$7,IF(AF392=$P$8,"","")))))</f>
        <v/>
      </c>
      <c r="AH392" s="201"/>
      <c r="AI392" s="201"/>
      <c r="AJ392" s="168" t="s">
        <v>112</v>
      </c>
      <c r="AK392" s="382"/>
      <c r="AN392" s="200"/>
      <c r="AR392" s="596"/>
      <c r="AS392" s="596"/>
      <c r="AT392" s="596"/>
      <c r="AU392" s="596"/>
      <c r="AV392" s="596"/>
      <c r="AW392" s="596"/>
      <c r="AX392" s="596"/>
    </row>
    <row r="393" spans="4:50" ht="15" customHeight="1" x14ac:dyDescent="0.3">
      <c r="D393" s="244"/>
      <c r="E393" s="230" t="s">
        <v>52</v>
      </c>
      <c r="F393" s="9" t="s">
        <v>32</v>
      </c>
      <c r="G393" s="9" t="s">
        <v>33</v>
      </c>
      <c r="H393" s="9"/>
      <c r="I393" s="9"/>
      <c r="J393" s="9" t="s">
        <v>34</v>
      </c>
      <c r="K393" s="9"/>
      <c r="L393" s="9"/>
      <c r="M393" s="257" t="s">
        <v>35</v>
      </c>
      <c r="N393" s="202"/>
      <c r="O393" s="9"/>
      <c r="P393" s="198" t="s">
        <v>22</v>
      </c>
      <c r="Q393" s="198"/>
      <c r="R393" s="596"/>
      <c r="S393" s="596"/>
      <c r="T393" s="596"/>
      <c r="U393" s="596"/>
      <c r="V393" s="596"/>
      <c r="W393" s="596"/>
      <c r="X393" s="596"/>
      <c r="AA393" s="50"/>
      <c r="AD393" s="244"/>
      <c r="AE393" s="230" t="s">
        <v>52</v>
      </c>
      <c r="AF393" s="9" t="s">
        <v>32</v>
      </c>
      <c r="AG393" s="9" t="s">
        <v>33</v>
      </c>
      <c r="AH393" s="9"/>
      <c r="AI393" s="9"/>
      <c r="AJ393" s="9" t="s">
        <v>34</v>
      </c>
      <c r="AK393" s="9"/>
      <c r="AL393" s="9"/>
      <c r="AM393" s="257" t="s">
        <v>35</v>
      </c>
      <c r="AN393" s="202"/>
      <c r="AO393" s="9"/>
      <c r="AP393" s="198" t="s">
        <v>22</v>
      </c>
      <c r="AQ393" s="198"/>
      <c r="AR393" s="596"/>
      <c r="AS393" s="596"/>
      <c r="AT393" s="596"/>
      <c r="AU393" s="596"/>
      <c r="AV393" s="596"/>
      <c r="AW393" s="596"/>
      <c r="AX393" s="596"/>
    </row>
    <row r="394" spans="4:50" ht="15" customHeight="1" x14ac:dyDescent="0.3">
      <c r="D394" s="244"/>
      <c r="E394" s="355" t="str">
        <f>IF(OR(M394="",M394=0,J394="",G394=""),"",
(IF(AND(F392=$P$4,M394&lt;=$R$4),$V$4,0)+IF(AND(F392=$P$5,M394&lt;=$R$5),$V$5,0)+IF(AND(F392=$P$6,M394&lt;=$R$6),$V$6,0)+IF(AND(F392=$P$7,M394&lt;=$R$7),$V$7,0))
)</f>
        <v/>
      </c>
      <c r="F394" s="153" t="s">
        <v>302</v>
      </c>
      <c r="G394" s="616"/>
      <c r="H394" s="617"/>
      <c r="I394" s="618"/>
      <c r="J394" s="616"/>
      <c r="K394" s="617"/>
      <c r="L394" s="618"/>
      <c r="M394" s="255"/>
      <c r="N394" s="256"/>
      <c r="O394" s="388"/>
      <c r="P394" s="185">
        <f t="shared" ref="P394" si="463">IF(F392="",0,1)</f>
        <v>0</v>
      </c>
      <c r="R394" s="185" t="str">
        <f t="shared" ref="R394" si="464">E394</f>
        <v/>
      </c>
      <c r="S394" s="185" t="str">
        <f t="shared" ref="S394" si="465">E395</f>
        <v/>
      </c>
      <c r="T394" s="185" t="str">
        <f t="shared" ref="T394" si="466">E396</f>
        <v/>
      </c>
      <c r="U394" s="185" t="str">
        <f t="shared" ref="U394" si="467">E397</f>
        <v/>
      </c>
      <c r="V394" s="185" t="str">
        <f t="shared" ref="V394" si="468">E398</f>
        <v/>
      </c>
      <c r="W394" s="185" t="str">
        <f t="shared" ref="W394" si="469">E399</f>
        <v/>
      </c>
      <c r="X394" s="185" t="str">
        <f t="shared" ref="X394" si="470">E400</f>
        <v/>
      </c>
      <c r="AA394" s="50"/>
      <c r="AD394" s="244"/>
      <c r="AE394" s="355" t="str">
        <f>IF(OR(AM394="",AM394=0,AJ394="",AG394=""),"",
(IF(AND(AF392=$P$4,AM394&lt;=$R$4),$V$4,0)+IF(AND(AF392=$P$5,AM394&lt;=$R$5),$V$5,0)+IF(AND(AF392=$P$6,AM394&lt;=$R$6),$V$6,0)+IF(AND(AF392=$P$7,AM394&lt;=$R$7),$V$7,0))
)</f>
        <v/>
      </c>
      <c r="AF394" s="153" t="s">
        <v>302</v>
      </c>
      <c r="AG394" s="598"/>
      <c r="AH394" s="599"/>
      <c r="AI394" s="600"/>
      <c r="AJ394" s="598"/>
      <c r="AK394" s="599"/>
      <c r="AL394" s="600"/>
      <c r="AM394" s="384"/>
      <c r="AN394" s="256"/>
      <c r="AO394" s="388"/>
      <c r="AP394" s="185">
        <f t="shared" ref="AP394" si="471">IF(AF392="",0,1)</f>
        <v>0</v>
      </c>
      <c r="AR394" s="185" t="str">
        <f t="shared" ref="AR394" si="472">AE394</f>
        <v/>
      </c>
      <c r="AS394" s="185" t="str">
        <f t="shared" ref="AS394" si="473">AE395</f>
        <v/>
      </c>
      <c r="AT394" s="185" t="str">
        <f t="shared" ref="AT394" si="474">AE396</f>
        <v/>
      </c>
      <c r="AU394" s="185" t="str">
        <f t="shared" ref="AU394" si="475">AE397</f>
        <v/>
      </c>
      <c r="AV394" s="185" t="str">
        <f t="shared" ref="AV394" si="476">AE398</f>
        <v/>
      </c>
      <c r="AW394" s="185" t="str">
        <f t="shared" ref="AW394" si="477">AE399</f>
        <v/>
      </c>
      <c r="AX394" s="185" t="str">
        <f t="shared" ref="AX394" si="478">AE400</f>
        <v/>
      </c>
    </row>
    <row r="395" spans="4:50" x14ac:dyDescent="0.3">
      <c r="D395" s="244"/>
      <c r="E395" s="341" t="str">
        <f>IF(OR(M395="",M395=0,J395="",G395=""),"",
(IF(AND(F392=$P$4,M395&lt;=$R$4),$V$4,0)+IF(AND(F392=$P$5,M395&lt;=$R$5),$V$5,0)+IF(AND(F392=$P$6,M395&lt;=$R$6),$V$6,0)+IF(AND(F392=$P$7,M395&lt;=$R$7),$V$7,0))
)</f>
        <v/>
      </c>
      <c r="F395" s="153" t="s">
        <v>303</v>
      </c>
      <c r="G395" s="616"/>
      <c r="H395" s="617"/>
      <c r="I395" s="618"/>
      <c r="J395" s="616"/>
      <c r="K395" s="617"/>
      <c r="L395" s="618"/>
      <c r="M395" s="255"/>
      <c r="N395" s="256"/>
      <c r="O395" s="388"/>
      <c r="AA395" s="50"/>
      <c r="AD395" s="244"/>
      <c r="AE395" s="341" t="str">
        <f>IF(OR(AM395="",AM395=0,AJ395="",AG395=""),"",
(IF(AND(AF392=$P$4,AM395&lt;=$R$4),$V$4,0)+IF(AND(AF392=$P$5,AM395&lt;=$R$5),$V$5,0)+IF(AND(AF392=$P$6,AM395&lt;=$R$6),$V$6,0)+IF(AND(AF392=$P$7,AM395&lt;=$R$7),$V$7,0))
)</f>
        <v/>
      </c>
      <c r="AF395" s="153" t="s">
        <v>303</v>
      </c>
      <c r="AG395" s="598"/>
      <c r="AH395" s="599"/>
      <c r="AI395" s="600"/>
      <c r="AJ395" s="598"/>
      <c r="AK395" s="599"/>
      <c r="AL395" s="600"/>
      <c r="AM395" s="384"/>
      <c r="AN395" s="256"/>
      <c r="AO395" s="388"/>
    </row>
    <row r="396" spans="4:50" x14ac:dyDescent="0.3">
      <c r="D396" s="244"/>
      <c r="E396" s="341" t="str">
        <f>IF(OR(M396="",M396=0,J396="",G396=""),"",
(IF(AND(F392=$P$4,M396&lt;=$R$4),$V$4,0)+IF(AND(F392=$P$5,M396&lt;=$R$5),$V$5,0)+IF(AND(F392=$P$6,M396&lt;=$R$6),$V$6,0)+IF(AND(F392=$P$7,M396&lt;=$R$7),$V$7,0))
)</f>
        <v/>
      </c>
      <c r="F396" s="153" t="s">
        <v>304</v>
      </c>
      <c r="G396" s="616"/>
      <c r="H396" s="617"/>
      <c r="I396" s="618"/>
      <c r="J396" s="616"/>
      <c r="K396" s="617"/>
      <c r="L396" s="618"/>
      <c r="M396" s="255"/>
      <c r="N396" s="256"/>
      <c r="O396" s="388"/>
      <c r="AA396" s="50"/>
      <c r="AD396" s="244"/>
      <c r="AE396" s="341" t="str">
        <f>IF(OR(AM396="",AM396=0,AJ396="",AG396=""),"",
(IF(AND(AF392=$P$4,AM396&lt;=$R$4),$V$4,0)+IF(AND(AF392=$P$5,AM396&lt;=$R$5),$V$5,0)+IF(AND(AF392=$P$6,AM396&lt;=$R$6),$V$6,0)+IF(AND(AF392=$P$7,AM396&lt;=$R$7),$V$7,0))
)</f>
        <v/>
      </c>
      <c r="AF396" s="153" t="s">
        <v>304</v>
      </c>
      <c r="AG396" s="598"/>
      <c r="AH396" s="599"/>
      <c r="AI396" s="600"/>
      <c r="AJ396" s="598"/>
      <c r="AK396" s="599"/>
      <c r="AL396" s="600"/>
      <c r="AM396" s="384"/>
      <c r="AN396" s="256"/>
      <c r="AO396" s="388"/>
    </row>
    <row r="397" spans="4:50" x14ac:dyDescent="0.3">
      <c r="D397" s="244"/>
      <c r="E397" s="341" t="str">
        <f>IF(OR(M397="",M397=0,J397="",G397=""),"",
(IF(AND(F392=$P$4,M397&lt;=$R$4),$V$4,0)+IF(AND(F392=$P$5,M397&lt;=$R$5),$V$5,0)+IF(AND(F392=$P$6,M397&lt;=$R$6),$V$6,0)+IF(AND(F392=$P$7,M397&lt;=$R$7),$V$7,0))
)</f>
        <v/>
      </c>
      <c r="F397" s="153" t="s">
        <v>305</v>
      </c>
      <c r="G397" s="616"/>
      <c r="H397" s="617"/>
      <c r="I397" s="618"/>
      <c r="J397" s="616"/>
      <c r="K397" s="617"/>
      <c r="L397" s="618"/>
      <c r="M397" s="255"/>
      <c r="N397" s="256"/>
      <c r="O397" s="388"/>
      <c r="AA397" s="50"/>
      <c r="AD397" s="244"/>
      <c r="AE397" s="341" t="str">
        <f>IF(OR(AM397="",AM397=0,AJ397="",AG397=""),"",
(IF(AND(AF392=$P$4,AM397&lt;=$R$4),$V$4,0)+IF(AND(AF392=$P$5,AM397&lt;=$R$5),$V$5,0)+IF(AND(AF392=$P$6,AM397&lt;=$R$6),$V$6,0)+IF(AND(AF392=$P$7,AM397&lt;=$R$7),$V$7,0))
)</f>
        <v/>
      </c>
      <c r="AF397" s="153" t="s">
        <v>305</v>
      </c>
      <c r="AG397" s="598"/>
      <c r="AH397" s="599"/>
      <c r="AI397" s="600"/>
      <c r="AJ397" s="598"/>
      <c r="AK397" s="599"/>
      <c r="AL397" s="600"/>
      <c r="AM397" s="384"/>
      <c r="AN397" s="256"/>
      <c r="AO397" s="388"/>
    </row>
    <row r="398" spans="4:50" x14ac:dyDescent="0.3">
      <c r="D398" s="244"/>
      <c r="E398" s="341" t="str">
        <f>IF(OR(M398="",M398=0,J398="",G398=""),"",
(IF(AND(F392=$P$4,M398&lt;=$R$4),$V$4,0)+IF(AND(F392=$P$5,M398&lt;=$R$5),$V$5,0)+IF(AND(F392=$P$6,M398&lt;=$R$6),$V$6,0)+IF(AND(F392=$P$7,M398&lt;=$R$7),$V$7,0))
)</f>
        <v/>
      </c>
      <c r="F398" s="153" t="s">
        <v>306</v>
      </c>
      <c r="G398" s="616"/>
      <c r="H398" s="617"/>
      <c r="I398" s="618"/>
      <c r="J398" s="616"/>
      <c r="K398" s="617"/>
      <c r="L398" s="618"/>
      <c r="M398" s="255"/>
      <c r="N398" s="256"/>
      <c r="O398" s="388"/>
      <c r="AA398" s="50"/>
      <c r="AD398" s="244"/>
      <c r="AE398" s="341" t="str">
        <f>IF(OR(AM398="",AM398=0,AJ398="",AG398=""),"",
(IF(AND(AF392=$P$4,AM398&lt;=$R$4),$V$4,0)+IF(AND(AF392=$P$5,AM398&lt;=$R$5),$V$5,0)+IF(AND(AF392=$P$6,AM398&lt;=$R$6),$V$6,0)+IF(AND(AF392=$P$7,AM398&lt;=$R$7),$V$7,0))
)</f>
        <v/>
      </c>
      <c r="AF398" s="153" t="s">
        <v>306</v>
      </c>
      <c r="AG398" s="598"/>
      <c r="AH398" s="599"/>
      <c r="AI398" s="600"/>
      <c r="AJ398" s="598"/>
      <c r="AK398" s="599"/>
      <c r="AL398" s="600"/>
      <c r="AM398" s="384"/>
      <c r="AN398" s="256"/>
      <c r="AO398" s="388"/>
    </row>
    <row r="399" spans="4:50" x14ac:dyDescent="0.3">
      <c r="D399" s="244"/>
      <c r="E399" s="341" t="str">
        <f>IF(OR(M399="",M399=0,J399="",G399=""),"",
(IF(AND(F392=$P$4,M399&lt;=$R$4),$V$4,0)+IF(AND(F392=$P$5,M399&lt;=$R$5),$V$5,0)+IF(AND(F392=$P$6,M399&lt;=$R$6),$V$6,0)+IF(AND(F392=$P$7,M399&lt;=$R$7),$V$7,0))
)</f>
        <v/>
      </c>
      <c r="F399" s="153" t="s">
        <v>307</v>
      </c>
      <c r="G399" s="616"/>
      <c r="H399" s="617"/>
      <c r="I399" s="618"/>
      <c r="J399" s="616"/>
      <c r="K399" s="617"/>
      <c r="L399" s="618"/>
      <c r="M399" s="255"/>
      <c r="N399" s="256"/>
      <c r="O399" s="388"/>
      <c r="AA399" s="50"/>
      <c r="AD399" s="244"/>
      <c r="AE399" s="341" t="str">
        <f>IF(OR(AM399="",AM399=0,AJ399="",AG399=""),"",
(IF(AND(AF392=$P$4,AM399&lt;=$R$4),$V$4,0)+IF(AND(AF392=$P$5,AM399&lt;=$R$5),$V$5,0)+IF(AND(AF392=$P$6,AM399&lt;=$R$6),$V$6,0)+IF(AND(AF392=$P$7,AM399&lt;=$R$7),$V$7,0))
)</f>
        <v/>
      </c>
      <c r="AF399" s="153" t="s">
        <v>307</v>
      </c>
      <c r="AG399" s="598"/>
      <c r="AH399" s="599"/>
      <c r="AI399" s="600"/>
      <c r="AJ399" s="598"/>
      <c r="AK399" s="599"/>
      <c r="AL399" s="600"/>
      <c r="AM399" s="384"/>
      <c r="AN399" s="256"/>
      <c r="AO399" s="388"/>
    </row>
    <row r="400" spans="4:50" ht="15" customHeight="1" x14ac:dyDescent="0.3">
      <c r="D400" s="244"/>
      <c r="E400" s="341" t="str">
        <f>IF(OR(M400="",M400=0,J400="",G400=""),"",
(IF(AND(F392=$P$4,M400&lt;=$R$4),$V$4,0)+IF(AND(F392=$P$5,M400&lt;=$R$5),$V$5,0)+IF(AND(F392=$P$6,M400&lt;=$R$6),$V$6,0)+IF(AND(F392=$P$7,M400&lt;=$R$7),$V$7,0))
)</f>
        <v/>
      </c>
      <c r="F400" s="153" t="s">
        <v>308</v>
      </c>
      <c r="G400" s="616"/>
      <c r="H400" s="617"/>
      <c r="I400" s="618"/>
      <c r="J400" s="616"/>
      <c r="K400" s="617"/>
      <c r="L400" s="618"/>
      <c r="M400" s="255"/>
      <c r="N400" s="256"/>
      <c r="O400" s="388"/>
      <c r="AA400" s="50"/>
      <c r="AD400" s="244"/>
      <c r="AE400" s="341" t="str">
        <f>IF(OR(AM400="",AM400=0,AJ400="",AG400=""),"",
(IF(AND(AF392=$P$4,AM400&lt;=$R$4),$V$4,0)+IF(AND(AF392=$P$5,AM400&lt;=$R$5),$V$5,0)+IF(AND(AF392=$P$6,AM400&lt;=$R$6),$V$6,0)+IF(AND(AF392=$P$7,AM400&lt;=$R$7),$V$7,0))
)</f>
        <v/>
      </c>
      <c r="AF400" s="153" t="s">
        <v>308</v>
      </c>
      <c r="AG400" s="598"/>
      <c r="AH400" s="599"/>
      <c r="AI400" s="600"/>
      <c r="AJ400" s="598"/>
      <c r="AK400" s="599"/>
      <c r="AL400" s="600"/>
      <c r="AM400" s="384"/>
      <c r="AN400" s="256"/>
      <c r="AO400" s="388"/>
    </row>
    <row r="401" spans="4:50" ht="15" customHeight="1" thickBot="1" x14ac:dyDescent="0.35">
      <c r="D401" s="203"/>
      <c r="E401" s="3"/>
      <c r="F401" s="3"/>
      <c r="G401" s="3"/>
      <c r="H401" s="3"/>
      <c r="I401" s="3"/>
      <c r="J401" s="3"/>
      <c r="K401" s="3"/>
      <c r="L401" s="3"/>
      <c r="M401" s="3"/>
      <c r="N401" s="204"/>
      <c r="P401" s="2"/>
      <c r="AA401" s="50"/>
      <c r="AD401" s="203"/>
      <c r="AE401" s="3"/>
      <c r="AF401" s="3"/>
      <c r="AG401" s="3"/>
      <c r="AH401" s="3"/>
      <c r="AI401" s="3"/>
      <c r="AJ401" s="3"/>
      <c r="AK401" s="3"/>
      <c r="AL401" s="3"/>
      <c r="AM401" s="3"/>
      <c r="AN401" s="204"/>
      <c r="AP401" s="2"/>
    </row>
    <row r="402" spans="4:50" ht="15" customHeight="1" x14ac:dyDescent="0.3">
      <c r="D402" s="601" t="str">
        <f>IF(
OR(
OR(F404=$P$4,F404=$P$5,F404=$P$6,F404=$P$7),AND(G406="",G407="",G408="",G409="",G410="",G411="",G412="",J406="",J407="",J408="",J409="",J410="",J411="",J412="",M406="",M407="",M408="",M409="",M410="",M411="",M412="",K403="",K404="")
),
"",
"A Set-Aside must be selected."
)</f>
        <v/>
      </c>
      <c r="E402" s="602"/>
      <c r="F402" s="602"/>
      <c r="G402" s="602"/>
      <c r="H402" s="602"/>
      <c r="I402" s="602"/>
      <c r="J402" s="602"/>
      <c r="K402" s="602"/>
      <c r="L402" s="602"/>
      <c r="M402" s="602"/>
      <c r="N402" s="603"/>
      <c r="O402" s="2"/>
      <c r="AA402" s="50"/>
      <c r="AD402" s="601" t="str">
        <f>IF(
OR(
OR(AF404=$P$4,AF404=$P$5,AF404=$P$6,AF404=$P$7),AND(AG406="",AG407="",AG408="",AG409="",AG410="",AG411="",AG412="",AJ406="",AJ407="",AJ408="",AJ409="",AJ410="",AJ411="",AJ412="",AM406="",AM407="",AM408="",AM409="",AM410="",AM411="",AM412="",AK403="",AK404="")
),
"",
"A Set-Aside must be selected."
)</f>
        <v/>
      </c>
      <c r="AE402" s="602"/>
      <c r="AF402" s="602"/>
      <c r="AG402" s="602"/>
      <c r="AH402" s="602"/>
      <c r="AI402" s="602"/>
      <c r="AJ402" s="602"/>
      <c r="AK402" s="602"/>
      <c r="AL402" s="602"/>
      <c r="AM402" s="602"/>
      <c r="AN402" s="603"/>
      <c r="AO402" s="2"/>
    </row>
    <row r="403" spans="4:50" ht="15" customHeight="1" x14ac:dyDescent="0.3">
      <c r="D403" s="199"/>
      <c r="E403" s="9" t="s">
        <v>30</v>
      </c>
      <c r="F403" s="86">
        <f>F391+1</f>
        <v>31</v>
      </c>
      <c r="G403" s="9" t="s">
        <v>175</v>
      </c>
      <c r="H403" s="9"/>
      <c r="I403" s="9"/>
      <c r="J403" s="168" t="s">
        <v>111</v>
      </c>
      <c r="K403" s="148"/>
      <c r="N403" s="200"/>
      <c r="R403" s="596" t="s">
        <v>302</v>
      </c>
      <c r="S403" s="596" t="s">
        <v>303</v>
      </c>
      <c r="T403" s="596" t="s">
        <v>304</v>
      </c>
      <c r="U403" s="596" t="s">
        <v>305</v>
      </c>
      <c r="V403" s="596" t="s">
        <v>306</v>
      </c>
      <c r="W403" s="596" t="s">
        <v>307</v>
      </c>
      <c r="X403" s="596" t="s">
        <v>308</v>
      </c>
      <c r="AA403" s="50"/>
      <c r="AD403" s="199"/>
      <c r="AE403" s="9" t="s">
        <v>30</v>
      </c>
      <c r="AF403" s="86">
        <f>AF391+1</f>
        <v>31</v>
      </c>
      <c r="AG403" s="9" t="s">
        <v>175</v>
      </c>
      <c r="AH403" s="9"/>
      <c r="AI403" s="9"/>
      <c r="AJ403" s="168" t="s">
        <v>111</v>
      </c>
      <c r="AK403" s="382"/>
      <c r="AN403" s="200"/>
      <c r="AR403" s="596" t="s">
        <v>302</v>
      </c>
      <c r="AS403" s="596" t="s">
        <v>303</v>
      </c>
      <c r="AT403" s="596" t="s">
        <v>304</v>
      </c>
      <c r="AU403" s="596" t="s">
        <v>305</v>
      </c>
      <c r="AV403" s="596" t="s">
        <v>306</v>
      </c>
      <c r="AW403" s="596" t="s">
        <v>307</v>
      </c>
      <c r="AX403" s="596" t="s">
        <v>308</v>
      </c>
    </row>
    <row r="404" spans="4:50" ht="15" customHeight="1" x14ac:dyDescent="0.3">
      <c r="D404" s="604" t="s">
        <v>31</v>
      </c>
      <c r="E404" s="594"/>
      <c r="F404" s="151"/>
      <c r="G404" s="86" t="str">
        <f>IF(F404=$P$4,$Q$4,IF(F404=$P$5,$Q$5,IF(F404=$P$6,$Q$6,IF(F404=$P$7,Q$7,IF(F404=$P$8,"","")))))</f>
        <v/>
      </c>
      <c r="H404" s="201"/>
      <c r="I404" s="201"/>
      <c r="J404" s="168" t="s">
        <v>112</v>
      </c>
      <c r="K404" s="148"/>
      <c r="N404" s="200"/>
      <c r="R404" s="596"/>
      <c r="S404" s="596"/>
      <c r="T404" s="596"/>
      <c r="U404" s="596"/>
      <c r="V404" s="596"/>
      <c r="W404" s="596"/>
      <c r="X404" s="596"/>
      <c r="AA404" s="50"/>
      <c r="AD404" s="604" t="s">
        <v>31</v>
      </c>
      <c r="AE404" s="594"/>
      <c r="AF404" s="383"/>
      <c r="AG404" s="86" t="str">
        <f>IF(AF404=$P$4,$Q$4,IF(AF404=$P$5,$Q$5,IF(AF404=$P$6,$Q$6,IF(AF404=$P$7,AQ$7,IF(AF404=$P$8,"","")))))</f>
        <v/>
      </c>
      <c r="AH404" s="201"/>
      <c r="AI404" s="201"/>
      <c r="AJ404" s="168" t="s">
        <v>112</v>
      </c>
      <c r="AK404" s="382"/>
      <c r="AN404" s="200"/>
      <c r="AR404" s="596"/>
      <c r="AS404" s="596"/>
      <c r="AT404" s="596"/>
      <c r="AU404" s="596"/>
      <c r="AV404" s="596"/>
      <c r="AW404" s="596"/>
      <c r="AX404" s="596"/>
    </row>
    <row r="405" spans="4:50" ht="15" customHeight="1" x14ac:dyDescent="0.3">
      <c r="D405" s="244"/>
      <c r="E405" s="230" t="s">
        <v>52</v>
      </c>
      <c r="F405" s="9" t="s">
        <v>32</v>
      </c>
      <c r="G405" s="9" t="s">
        <v>33</v>
      </c>
      <c r="H405" s="9"/>
      <c r="I405" s="9"/>
      <c r="J405" s="9" t="s">
        <v>34</v>
      </c>
      <c r="K405" s="9"/>
      <c r="L405" s="9"/>
      <c r="M405" s="257" t="s">
        <v>35</v>
      </c>
      <c r="N405" s="202"/>
      <c r="O405" s="9"/>
      <c r="P405" s="198" t="s">
        <v>22</v>
      </c>
      <c r="Q405" s="198"/>
      <c r="R405" s="596"/>
      <c r="S405" s="596"/>
      <c r="T405" s="596"/>
      <c r="U405" s="596"/>
      <c r="V405" s="596"/>
      <c r="W405" s="596"/>
      <c r="X405" s="596"/>
      <c r="AA405" s="50"/>
      <c r="AD405" s="244"/>
      <c r="AE405" s="230" t="s">
        <v>52</v>
      </c>
      <c r="AF405" s="9" t="s">
        <v>32</v>
      </c>
      <c r="AG405" s="9" t="s">
        <v>33</v>
      </c>
      <c r="AH405" s="9"/>
      <c r="AI405" s="9"/>
      <c r="AJ405" s="9" t="s">
        <v>34</v>
      </c>
      <c r="AK405" s="9"/>
      <c r="AL405" s="9"/>
      <c r="AM405" s="257" t="s">
        <v>35</v>
      </c>
      <c r="AN405" s="202"/>
      <c r="AO405" s="9"/>
      <c r="AP405" s="198" t="s">
        <v>22</v>
      </c>
      <c r="AQ405" s="198"/>
      <c r="AR405" s="596"/>
      <c r="AS405" s="596"/>
      <c r="AT405" s="596"/>
      <c r="AU405" s="596"/>
      <c r="AV405" s="596"/>
      <c r="AW405" s="596"/>
      <c r="AX405" s="596"/>
    </row>
    <row r="406" spans="4:50" ht="15" customHeight="1" x14ac:dyDescent="0.3">
      <c r="D406" s="244"/>
      <c r="E406" s="355" t="str">
        <f>IF(OR(M406="",M406=0,J406="",G406=""),"",
(IF(AND(F404=$P$4,M406&lt;=$R$4),$V$4,0)+IF(AND(F404=$P$5,M406&lt;=$R$5),$V$5,0)+IF(AND(F404=$P$6,M406&lt;=$R$6),$V$6,0)+IF(AND(F404=$P$7,M406&lt;=$R$7),$V$7,0))
)</f>
        <v/>
      </c>
      <c r="F406" s="153" t="s">
        <v>302</v>
      </c>
      <c r="G406" s="616"/>
      <c r="H406" s="617"/>
      <c r="I406" s="618"/>
      <c r="J406" s="616"/>
      <c r="K406" s="617"/>
      <c r="L406" s="618"/>
      <c r="M406" s="255"/>
      <c r="N406" s="256"/>
      <c r="O406" s="388"/>
      <c r="P406" s="185">
        <f t="shared" ref="P406" si="479">IF(F404="",0,1)</f>
        <v>0</v>
      </c>
      <c r="R406" s="185" t="str">
        <f t="shared" ref="R406" si="480">E406</f>
        <v/>
      </c>
      <c r="S406" s="185" t="str">
        <f t="shared" ref="S406" si="481">E407</f>
        <v/>
      </c>
      <c r="T406" s="185" t="str">
        <f t="shared" ref="T406" si="482">E408</f>
        <v/>
      </c>
      <c r="U406" s="185" t="str">
        <f t="shared" ref="U406" si="483">E409</f>
        <v/>
      </c>
      <c r="V406" s="185" t="str">
        <f t="shared" ref="V406" si="484">E410</f>
        <v/>
      </c>
      <c r="W406" s="185" t="str">
        <f t="shared" ref="W406" si="485">E411</f>
        <v/>
      </c>
      <c r="X406" s="185" t="str">
        <f t="shared" ref="X406" si="486">E412</f>
        <v/>
      </c>
      <c r="AA406" s="50"/>
      <c r="AD406" s="244"/>
      <c r="AE406" s="355" t="str">
        <f>IF(OR(AM406="",AM406=0,AJ406="",AG406=""),"",
(IF(AND(AF404=$P$4,AM406&lt;=$R$4),$V$4,0)+IF(AND(AF404=$P$5,AM406&lt;=$R$5),$V$5,0)+IF(AND(AF404=$P$6,AM406&lt;=$R$6),$V$6,0)+IF(AND(AF404=$P$7,AM406&lt;=$R$7),$V$7,0))
)</f>
        <v/>
      </c>
      <c r="AF406" s="153" t="s">
        <v>302</v>
      </c>
      <c r="AG406" s="598"/>
      <c r="AH406" s="599"/>
      <c r="AI406" s="600"/>
      <c r="AJ406" s="598"/>
      <c r="AK406" s="599"/>
      <c r="AL406" s="600"/>
      <c r="AM406" s="384"/>
      <c r="AN406" s="256"/>
      <c r="AO406" s="388"/>
      <c r="AP406" s="185">
        <f t="shared" ref="AP406" si="487">IF(AF404="",0,1)</f>
        <v>0</v>
      </c>
      <c r="AR406" s="185" t="str">
        <f t="shared" ref="AR406" si="488">AE406</f>
        <v/>
      </c>
      <c r="AS406" s="185" t="str">
        <f t="shared" ref="AS406" si="489">AE407</f>
        <v/>
      </c>
      <c r="AT406" s="185" t="str">
        <f t="shared" ref="AT406" si="490">AE408</f>
        <v/>
      </c>
      <c r="AU406" s="185" t="str">
        <f t="shared" ref="AU406" si="491">AE409</f>
        <v/>
      </c>
      <c r="AV406" s="185" t="str">
        <f t="shared" ref="AV406" si="492">AE410</f>
        <v/>
      </c>
      <c r="AW406" s="185" t="str">
        <f t="shared" ref="AW406" si="493">AE411</f>
        <v/>
      </c>
      <c r="AX406" s="185" t="str">
        <f t="shared" ref="AX406" si="494">AE412</f>
        <v/>
      </c>
    </row>
    <row r="407" spans="4:50" ht="15" customHeight="1" x14ac:dyDescent="0.3">
      <c r="D407" s="244"/>
      <c r="E407" s="341" t="str">
        <f>IF(OR(M407="",M407=0,J407="",G407=""),"",
(IF(AND(F404=$P$4,M407&lt;=$R$4),$V$4,0)+IF(AND(F404=$P$5,M407&lt;=$R$5),$V$5,0)+IF(AND(F404=$P$6,M407&lt;=$R$6),$V$6,0)+IF(AND(F404=$P$7,M407&lt;=$R$7),$V$7,0))
)</f>
        <v/>
      </c>
      <c r="F407" s="153" t="s">
        <v>303</v>
      </c>
      <c r="G407" s="616"/>
      <c r="H407" s="617"/>
      <c r="I407" s="618"/>
      <c r="J407" s="616"/>
      <c r="K407" s="617"/>
      <c r="L407" s="618"/>
      <c r="M407" s="255"/>
      <c r="N407" s="256"/>
      <c r="O407" s="388"/>
      <c r="AA407" s="50"/>
      <c r="AD407" s="244"/>
      <c r="AE407" s="341" t="str">
        <f>IF(OR(AM407="",AM407=0,AJ407="",AG407=""),"",
(IF(AND(AF404=$P$4,AM407&lt;=$R$4),$V$4,0)+IF(AND(AF404=$P$5,AM407&lt;=$R$5),$V$5,0)+IF(AND(AF404=$P$6,AM407&lt;=$R$6),$V$6,0)+IF(AND(AF404=$P$7,AM407&lt;=$R$7),$V$7,0))
)</f>
        <v/>
      </c>
      <c r="AF407" s="153" t="s">
        <v>303</v>
      </c>
      <c r="AG407" s="598"/>
      <c r="AH407" s="599"/>
      <c r="AI407" s="600"/>
      <c r="AJ407" s="598"/>
      <c r="AK407" s="599"/>
      <c r="AL407" s="600"/>
      <c r="AM407" s="384"/>
      <c r="AN407" s="256"/>
      <c r="AO407" s="388"/>
    </row>
    <row r="408" spans="4:50" x14ac:dyDescent="0.3">
      <c r="D408" s="244"/>
      <c r="E408" s="341" t="str">
        <f>IF(OR(M408="",M408=0,J408="",G408=""),"",
(IF(AND(F404=$P$4,M408&lt;=$R$4),$V$4,0)+IF(AND(F404=$P$5,M408&lt;=$R$5),$V$5,0)+IF(AND(F404=$P$6,M408&lt;=$R$6),$V$6,0)+IF(AND(F404=$P$7,M408&lt;=$R$7),$V$7,0))
)</f>
        <v/>
      </c>
      <c r="F408" s="153" t="s">
        <v>304</v>
      </c>
      <c r="G408" s="616"/>
      <c r="H408" s="617"/>
      <c r="I408" s="618"/>
      <c r="J408" s="616"/>
      <c r="K408" s="617"/>
      <c r="L408" s="618"/>
      <c r="M408" s="255"/>
      <c r="N408" s="256"/>
      <c r="O408" s="388"/>
      <c r="AA408" s="50"/>
      <c r="AD408" s="244"/>
      <c r="AE408" s="341" t="str">
        <f>IF(OR(AM408="",AM408=0,AJ408="",AG408=""),"",
(IF(AND(AF404=$P$4,AM408&lt;=$R$4),$V$4,0)+IF(AND(AF404=$P$5,AM408&lt;=$R$5),$V$5,0)+IF(AND(AF404=$P$6,AM408&lt;=$R$6),$V$6,0)+IF(AND(AF404=$P$7,AM408&lt;=$R$7),$V$7,0))
)</f>
        <v/>
      </c>
      <c r="AF408" s="153" t="s">
        <v>304</v>
      </c>
      <c r="AG408" s="598"/>
      <c r="AH408" s="599"/>
      <c r="AI408" s="600"/>
      <c r="AJ408" s="598"/>
      <c r="AK408" s="599"/>
      <c r="AL408" s="600"/>
      <c r="AM408" s="384"/>
      <c r="AN408" s="256"/>
      <c r="AO408" s="388"/>
    </row>
    <row r="409" spans="4:50" x14ac:dyDescent="0.3">
      <c r="D409" s="244"/>
      <c r="E409" s="341" t="str">
        <f>IF(OR(M409="",M409=0,J409="",G409=""),"",
(IF(AND(F404=$P$4,M409&lt;=$R$4),$V$4,0)+IF(AND(F404=$P$5,M409&lt;=$R$5),$V$5,0)+IF(AND(F404=$P$6,M409&lt;=$R$6),$V$6,0)+IF(AND(F404=$P$7,M409&lt;=$R$7),$V$7,0))
)</f>
        <v/>
      </c>
      <c r="F409" s="153" t="s">
        <v>305</v>
      </c>
      <c r="G409" s="616"/>
      <c r="H409" s="617"/>
      <c r="I409" s="618"/>
      <c r="J409" s="616"/>
      <c r="K409" s="617"/>
      <c r="L409" s="618"/>
      <c r="M409" s="255"/>
      <c r="N409" s="256"/>
      <c r="O409" s="388"/>
      <c r="AA409" s="50"/>
      <c r="AD409" s="244"/>
      <c r="AE409" s="341" t="str">
        <f>IF(OR(AM409="",AM409=0,AJ409="",AG409=""),"",
(IF(AND(AF404=$P$4,AM409&lt;=$R$4),$V$4,0)+IF(AND(AF404=$P$5,AM409&lt;=$R$5),$V$5,0)+IF(AND(AF404=$P$6,AM409&lt;=$R$6),$V$6,0)+IF(AND(AF404=$P$7,AM409&lt;=$R$7),$V$7,0))
)</f>
        <v/>
      </c>
      <c r="AF409" s="153" t="s">
        <v>305</v>
      </c>
      <c r="AG409" s="598"/>
      <c r="AH409" s="599"/>
      <c r="AI409" s="600"/>
      <c r="AJ409" s="598"/>
      <c r="AK409" s="599"/>
      <c r="AL409" s="600"/>
      <c r="AM409" s="384"/>
      <c r="AN409" s="256"/>
      <c r="AO409" s="388"/>
    </row>
    <row r="410" spans="4:50" x14ac:dyDescent="0.3">
      <c r="D410" s="244"/>
      <c r="E410" s="341" t="str">
        <f>IF(OR(M410="",M410=0,J410="",G410=""),"",
(IF(AND(F404=$P$4,M410&lt;=$R$4),$V$4,0)+IF(AND(F404=$P$5,M410&lt;=$R$5),$V$5,0)+IF(AND(F404=$P$6,M410&lt;=$R$6),$V$6,0)+IF(AND(F404=$P$7,M410&lt;=$R$7),$V$7,0))
)</f>
        <v/>
      </c>
      <c r="F410" s="153" t="s">
        <v>306</v>
      </c>
      <c r="G410" s="616"/>
      <c r="H410" s="617"/>
      <c r="I410" s="618"/>
      <c r="J410" s="616"/>
      <c r="K410" s="617"/>
      <c r="L410" s="618"/>
      <c r="M410" s="255"/>
      <c r="N410" s="256"/>
      <c r="O410" s="388"/>
      <c r="AA410" s="50"/>
      <c r="AD410" s="244"/>
      <c r="AE410" s="341" t="str">
        <f>IF(OR(AM410="",AM410=0,AJ410="",AG410=""),"",
(IF(AND(AF404=$P$4,AM410&lt;=$R$4),$V$4,0)+IF(AND(AF404=$P$5,AM410&lt;=$R$5),$V$5,0)+IF(AND(AF404=$P$6,AM410&lt;=$R$6),$V$6,0)+IF(AND(AF404=$P$7,AM410&lt;=$R$7),$V$7,0))
)</f>
        <v/>
      </c>
      <c r="AF410" s="153" t="s">
        <v>306</v>
      </c>
      <c r="AG410" s="598"/>
      <c r="AH410" s="599"/>
      <c r="AI410" s="600"/>
      <c r="AJ410" s="598"/>
      <c r="AK410" s="599"/>
      <c r="AL410" s="600"/>
      <c r="AM410" s="384"/>
      <c r="AN410" s="256"/>
      <c r="AO410" s="388"/>
    </row>
    <row r="411" spans="4:50" x14ac:dyDescent="0.3">
      <c r="D411" s="244"/>
      <c r="E411" s="341" t="str">
        <f>IF(OR(M411="",M411=0,J411="",G411=""),"",
(IF(AND(F404=$P$4,M411&lt;=$R$4),$V$4,0)+IF(AND(F404=$P$5,M411&lt;=$R$5),$V$5,0)+IF(AND(F404=$P$6,M411&lt;=$R$6),$V$6,0)+IF(AND(F404=$P$7,M411&lt;=$R$7),$V$7,0))
)</f>
        <v/>
      </c>
      <c r="F411" s="153" t="s">
        <v>307</v>
      </c>
      <c r="G411" s="616"/>
      <c r="H411" s="617"/>
      <c r="I411" s="618"/>
      <c r="J411" s="616"/>
      <c r="K411" s="617"/>
      <c r="L411" s="618"/>
      <c r="M411" s="255"/>
      <c r="N411" s="256"/>
      <c r="O411" s="388"/>
      <c r="AA411" s="50"/>
      <c r="AD411" s="244"/>
      <c r="AE411" s="341" t="str">
        <f>IF(OR(AM411="",AM411=0,AJ411="",AG411=""),"",
(IF(AND(AF404=$P$4,AM411&lt;=$R$4),$V$4,0)+IF(AND(AF404=$P$5,AM411&lt;=$R$5),$V$5,0)+IF(AND(AF404=$P$6,AM411&lt;=$R$6),$V$6,0)+IF(AND(AF404=$P$7,AM411&lt;=$R$7),$V$7,0))
)</f>
        <v/>
      </c>
      <c r="AF411" s="153" t="s">
        <v>307</v>
      </c>
      <c r="AG411" s="598"/>
      <c r="AH411" s="599"/>
      <c r="AI411" s="600"/>
      <c r="AJ411" s="598"/>
      <c r="AK411" s="599"/>
      <c r="AL411" s="600"/>
      <c r="AM411" s="384"/>
      <c r="AN411" s="256"/>
      <c r="AO411" s="388"/>
    </row>
    <row r="412" spans="4:50" x14ac:dyDescent="0.3">
      <c r="D412" s="244"/>
      <c r="E412" s="341" t="str">
        <f>IF(OR(M412="",M412=0,J412="",G412=""),"",
(IF(AND(F404=$P$4,M412&lt;=$R$4),$V$4,0)+IF(AND(F404=$P$5,M412&lt;=$R$5),$V$5,0)+IF(AND(F404=$P$6,M412&lt;=$R$6),$V$6,0)+IF(AND(F404=$P$7,M412&lt;=$R$7),$V$7,0))
)</f>
        <v/>
      </c>
      <c r="F412" s="153" t="s">
        <v>308</v>
      </c>
      <c r="G412" s="616"/>
      <c r="H412" s="617"/>
      <c r="I412" s="618"/>
      <c r="J412" s="616"/>
      <c r="K412" s="617"/>
      <c r="L412" s="618"/>
      <c r="M412" s="255"/>
      <c r="N412" s="256"/>
      <c r="O412" s="388"/>
      <c r="AA412" s="50"/>
      <c r="AD412" s="244"/>
      <c r="AE412" s="341" t="str">
        <f>IF(OR(AM412="",AM412=0,AJ412="",AG412=""),"",
(IF(AND(AF404=$P$4,AM412&lt;=$R$4),$V$4,0)+IF(AND(AF404=$P$5,AM412&lt;=$R$5),$V$5,0)+IF(AND(AF404=$P$6,AM412&lt;=$R$6),$V$6,0)+IF(AND(AF404=$P$7,AM412&lt;=$R$7),$V$7,0))
)</f>
        <v/>
      </c>
      <c r="AF412" s="153" t="s">
        <v>308</v>
      </c>
      <c r="AG412" s="598"/>
      <c r="AH412" s="599"/>
      <c r="AI412" s="600"/>
      <c r="AJ412" s="598"/>
      <c r="AK412" s="599"/>
      <c r="AL412" s="600"/>
      <c r="AM412" s="384"/>
      <c r="AN412" s="256"/>
      <c r="AO412" s="388"/>
    </row>
    <row r="413" spans="4:50" ht="15" customHeight="1" thickBot="1" x14ac:dyDescent="0.35">
      <c r="D413" s="203"/>
      <c r="E413" s="3"/>
      <c r="F413" s="3"/>
      <c r="G413" s="3"/>
      <c r="H413" s="3"/>
      <c r="I413" s="3"/>
      <c r="J413" s="3"/>
      <c r="K413" s="3"/>
      <c r="L413" s="3"/>
      <c r="M413" s="3"/>
      <c r="N413" s="204"/>
      <c r="P413" s="2"/>
      <c r="AA413" s="50"/>
      <c r="AD413" s="203"/>
      <c r="AE413" s="3"/>
      <c r="AF413" s="3"/>
      <c r="AG413" s="3"/>
      <c r="AH413" s="3"/>
      <c r="AI413" s="3"/>
      <c r="AJ413" s="3"/>
      <c r="AK413" s="3"/>
      <c r="AL413" s="3"/>
      <c r="AM413" s="3"/>
      <c r="AN413" s="204"/>
      <c r="AP413" s="2"/>
    </row>
    <row r="414" spans="4:50" ht="15" customHeight="1" x14ac:dyDescent="0.3">
      <c r="D414" s="601" t="str">
        <f>IF(
OR(
OR(F416=$P$4,F416=$P$5,F416=$P$6,F416=$P$7),AND(G418="",G419="",G420="",G421="",G422="",G423="",G424="",J418="",J419="",J420="",J421="",J422="",J423="",J424="",M418="",M419="",M420="",M421="",M422="",M423="",M424="",K415="",K416="")
),
"",
"A Set-Aside must be selected."
)</f>
        <v/>
      </c>
      <c r="E414" s="602"/>
      <c r="F414" s="602"/>
      <c r="G414" s="602"/>
      <c r="H414" s="602"/>
      <c r="I414" s="602"/>
      <c r="J414" s="602"/>
      <c r="K414" s="602"/>
      <c r="L414" s="602"/>
      <c r="M414" s="602"/>
      <c r="N414" s="603"/>
      <c r="O414" s="2"/>
      <c r="AA414" s="50"/>
      <c r="AD414" s="601" t="str">
        <f>IF(
OR(
OR(AF416=$P$4,AF416=$P$5,AF416=$P$6,AF416=$P$7),AND(AG418="",AG419="",AG420="",AG421="",AG422="",AG423="",AG424="",AJ418="",AJ419="",AJ420="",AJ421="",AJ422="",AJ423="",AJ424="",AM418="",AM419="",AM420="",AM421="",AM422="",AM423="",AM424="",AK415="",AK416="")
),
"",
"A Set-Aside must be selected."
)</f>
        <v/>
      </c>
      <c r="AE414" s="602"/>
      <c r="AF414" s="602"/>
      <c r="AG414" s="602"/>
      <c r="AH414" s="602"/>
      <c r="AI414" s="602"/>
      <c r="AJ414" s="602"/>
      <c r="AK414" s="602"/>
      <c r="AL414" s="602"/>
      <c r="AM414" s="602"/>
      <c r="AN414" s="603"/>
      <c r="AO414" s="2"/>
    </row>
    <row r="415" spans="4:50" ht="15" customHeight="1" x14ac:dyDescent="0.3">
      <c r="D415" s="199"/>
      <c r="E415" s="9" t="s">
        <v>30</v>
      </c>
      <c r="F415" s="86">
        <f>F403+1</f>
        <v>32</v>
      </c>
      <c r="G415" s="9" t="s">
        <v>175</v>
      </c>
      <c r="H415" s="9"/>
      <c r="I415" s="9"/>
      <c r="J415" s="168" t="s">
        <v>111</v>
      </c>
      <c r="K415" s="148"/>
      <c r="N415" s="200"/>
      <c r="R415" s="596" t="s">
        <v>302</v>
      </c>
      <c r="S415" s="596" t="s">
        <v>303</v>
      </c>
      <c r="T415" s="596" t="s">
        <v>304</v>
      </c>
      <c r="U415" s="596" t="s">
        <v>305</v>
      </c>
      <c r="V415" s="596" t="s">
        <v>306</v>
      </c>
      <c r="W415" s="596" t="s">
        <v>307</v>
      </c>
      <c r="X415" s="596" t="s">
        <v>308</v>
      </c>
      <c r="AA415" s="50"/>
      <c r="AD415" s="199"/>
      <c r="AE415" s="9" t="s">
        <v>30</v>
      </c>
      <c r="AF415" s="86">
        <f>AF403+1</f>
        <v>32</v>
      </c>
      <c r="AG415" s="9" t="s">
        <v>175</v>
      </c>
      <c r="AH415" s="9"/>
      <c r="AI415" s="9"/>
      <c r="AJ415" s="168" t="s">
        <v>111</v>
      </c>
      <c r="AK415" s="382"/>
      <c r="AN415" s="200"/>
      <c r="AR415" s="596" t="s">
        <v>302</v>
      </c>
      <c r="AS415" s="596" t="s">
        <v>303</v>
      </c>
      <c r="AT415" s="596" t="s">
        <v>304</v>
      </c>
      <c r="AU415" s="596" t="s">
        <v>305</v>
      </c>
      <c r="AV415" s="596" t="s">
        <v>306</v>
      </c>
      <c r="AW415" s="596" t="s">
        <v>307</v>
      </c>
      <c r="AX415" s="596" t="s">
        <v>308</v>
      </c>
    </row>
    <row r="416" spans="4:50" ht="15" customHeight="1" x14ac:dyDescent="0.3">
      <c r="D416" s="604" t="s">
        <v>31</v>
      </c>
      <c r="E416" s="594"/>
      <c r="F416" s="151"/>
      <c r="G416" s="86" t="str">
        <f>IF(F416=$P$4,$Q$4,IF(F416=$P$5,$Q$5,IF(F416=$P$6,$Q$6,IF(F416=$P$7,Q$7,IF(F416=$P$8,"","")))))</f>
        <v/>
      </c>
      <c r="H416" s="201"/>
      <c r="I416" s="201"/>
      <c r="J416" s="168" t="s">
        <v>112</v>
      </c>
      <c r="K416" s="148"/>
      <c r="N416" s="200"/>
      <c r="R416" s="596"/>
      <c r="S416" s="596"/>
      <c r="T416" s="596"/>
      <c r="U416" s="596"/>
      <c r="V416" s="596"/>
      <c r="W416" s="596"/>
      <c r="X416" s="596"/>
      <c r="AA416" s="50"/>
      <c r="AD416" s="604" t="s">
        <v>31</v>
      </c>
      <c r="AE416" s="594"/>
      <c r="AF416" s="383"/>
      <c r="AG416" s="86" t="str">
        <f>IF(AF416=$P$4,$Q$4,IF(AF416=$P$5,$Q$5,IF(AF416=$P$6,$Q$6,IF(AF416=$P$7,AQ$7,IF(AF416=$P$8,"","")))))</f>
        <v/>
      </c>
      <c r="AH416" s="201"/>
      <c r="AI416" s="201"/>
      <c r="AJ416" s="168" t="s">
        <v>112</v>
      </c>
      <c r="AK416" s="382"/>
      <c r="AN416" s="200"/>
      <c r="AR416" s="596"/>
      <c r="AS416" s="596"/>
      <c r="AT416" s="596"/>
      <c r="AU416" s="596"/>
      <c r="AV416" s="596"/>
      <c r="AW416" s="596"/>
      <c r="AX416" s="596"/>
    </row>
    <row r="417" spans="4:50" ht="15" customHeight="1" x14ac:dyDescent="0.3">
      <c r="D417" s="244"/>
      <c r="E417" s="230" t="s">
        <v>52</v>
      </c>
      <c r="F417" s="9" t="s">
        <v>32</v>
      </c>
      <c r="G417" s="9" t="s">
        <v>33</v>
      </c>
      <c r="H417" s="9"/>
      <c r="I417" s="9"/>
      <c r="J417" s="9" t="s">
        <v>34</v>
      </c>
      <c r="K417" s="9"/>
      <c r="L417" s="9"/>
      <c r="M417" s="257" t="s">
        <v>35</v>
      </c>
      <c r="N417" s="202"/>
      <c r="O417" s="9"/>
      <c r="P417" s="198" t="s">
        <v>22</v>
      </c>
      <c r="Q417" s="198"/>
      <c r="R417" s="596"/>
      <c r="S417" s="596"/>
      <c r="T417" s="596"/>
      <c r="U417" s="596"/>
      <c r="V417" s="596"/>
      <c r="W417" s="596"/>
      <c r="X417" s="596"/>
      <c r="AA417" s="50"/>
      <c r="AD417" s="244"/>
      <c r="AE417" s="230" t="s">
        <v>52</v>
      </c>
      <c r="AF417" s="9" t="s">
        <v>32</v>
      </c>
      <c r="AG417" s="9" t="s">
        <v>33</v>
      </c>
      <c r="AH417" s="9"/>
      <c r="AI417" s="9"/>
      <c r="AJ417" s="9" t="s">
        <v>34</v>
      </c>
      <c r="AK417" s="9"/>
      <c r="AL417" s="9"/>
      <c r="AM417" s="257" t="s">
        <v>35</v>
      </c>
      <c r="AN417" s="202"/>
      <c r="AO417" s="9"/>
      <c r="AP417" s="198" t="s">
        <v>22</v>
      </c>
      <c r="AQ417" s="198"/>
      <c r="AR417" s="596"/>
      <c r="AS417" s="596"/>
      <c r="AT417" s="596"/>
      <c r="AU417" s="596"/>
      <c r="AV417" s="596"/>
      <c r="AW417" s="596"/>
      <c r="AX417" s="596"/>
    </row>
    <row r="418" spans="4:50" x14ac:dyDescent="0.3">
      <c r="D418" s="244"/>
      <c r="E418" s="355" t="str">
        <f>IF(OR(M418="",M418=0,J418="",G418=""),"",
(IF(AND(F416=$P$4,M418&lt;=$R$4),$V$4,0)+IF(AND(F416=$P$5,M418&lt;=$R$5),$V$5,0)+IF(AND(F416=$P$6,M418&lt;=$R$6),$V$6,0)+IF(AND(F416=$P$7,M418&lt;=$R$7),$V$7,0))
)</f>
        <v/>
      </c>
      <c r="F418" s="153" t="s">
        <v>302</v>
      </c>
      <c r="G418" s="616"/>
      <c r="H418" s="617"/>
      <c r="I418" s="618"/>
      <c r="J418" s="616"/>
      <c r="K418" s="617"/>
      <c r="L418" s="618"/>
      <c r="M418" s="255"/>
      <c r="N418" s="256"/>
      <c r="O418" s="388"/>
      <c r="P418" s="185">
        <f t="shared" ref="P418" si="495">IF(F416="",0,1)</f>
        <v>0</v>
      </c>
      <c r="R418" s="185" t="str">
        <f t="shared" ref="R418" si="496">E418</f>
        <v/>
      </c>
      <c r="S418" s="185" t="str">
        <f t="shared" ref="S418" si="497">E419</f>
        <v/>
      </c>
      <c r="T418" s="185" t="str">
        <f t="shared" ref="T418" si="498">E420</f>
        <v/>
      </c>
      <c r="U418" s="185" t="str">
        <f t="shared" ref="U418" si="499">E421</f>
        <v/>
      </c>
      <c r="V418" s="185" t="str">
        <f t="shared" ref="V418" si="500">E422</f>
        <v/>
      </c>
      <c r="W418" s="185" t="str">
        <f t="shared" ref="W418" si="501">E423</f>
        <v/>
      </c>
      <c r="X418" s="185" t="str">
        <f t="shared" ref="X418" si="502">E424</f>
        <v/>
      </c>
      <c r="AA418" s="50"/>
      <c r="AD418" s="244"/>
      <c r="AE418" s="355" t="str">
        <f>IF(OR(AM418="",AM418=0,AJ418="",AG418=""),"",
(IF(AND(AF416=$P$4,AM418&lt;=$R$4),$V$4,0)+IF(AND(AF416=$P$5,AM418&lt;=$R$5),$V$5,0)+IF(AND(AF416=$P$6,AM418&lt;=$R$6),$V$6,0)+IF(AND(AF416=$P$7,AM418&lt;=$R$7),$V$7,0))
)</f>
        <v/>
      </c>
      <c r="AF418" s="153" t="s">
        <v>302</v>
      </c>
      <c r="AG418" s="598"/>
      <c r="AH418" s="599"/>
      <c r="AI418" s="600"/>
      <c r="AJ418" s="598"/>
      <c r="AK418" s="599"/>
      <c r="AL418" s="600"/>
      <c r="AM418" s="384"/>
      <c r="AN418" s="256"/>
      <c r="AO418" s="388"/>
      <c r="AP418" s="185">
        <f t="shared" ref="AP418" si="503">IF(AF416="",0,1)</f>
        <v>0</v>
      </c>
      <c r="AR418" s="185" t="str">
        <f t="shared" ref="AR418" si="504">AE418</f>
        <v/>
      </c>
      <c r="AS418" s="185" t="str">
        <f t="shared" ref="AS418" si="505">AE419</f>
        <v/>
      </c>
      <c r="AT418" s="185" t="str">
        <f t="shared" ref="AT418" si="506">AE420</f>
        <v/>
      </c>
      <c r="AU418" s="185" t="str">
        <f t="shared" ref="AU418" si="507">AE421</f>
        <v/>
      </c>
      <c r="AV418" s="185" t="str">
        <f t="shared" ref="AV418" si="508">AE422</f>
        <v/>
      </c>
      <c r="AW418" s="185" t="str">
        <f t="shared" ref="AW418" si="509">AE423</f>
        <v/>
      </c>
      <c r="AX418" s="185" t="str">
        <f t="shared" ref="AX418" si="510">AE424</f>
        <v/>
      </c>
    </row>
    <row r="419" spans="4:50" x14ac:dyDescent="0.3">
      <c r="D419" s="244"/>
      <c r="E419" s="341" t="str">
        <f>IF(OR(M419="",M419=0,J419="",G419=""),"",
(IF(AND(F416=$P$4,M419&lt;=$R$4),$V$4,0)+IF(AND(F416=$P$5,M419&lt;=$R$5),$V$5,0)+IF(AND(F416=$P$6,M419&lt;=$R$6),$V$6,0)+IF(AND(F416=$P$7,M419&lt;=$R$7),$V$7,0))
)</f>
        <v/>
      </c>
      <c r="F419" s="153" t="s">
        <v>303</v>
      </c>
      <c r="G419" s="616"/>
      <c r="H419" s="617"/>
      <c r="I419" s="618"/>
      <c r="J419" s="616"/>
      <c r="K419" s="617"/>
      <c r="L419" s="618"/>
      <c r="M419" s="255"/>
      <c r="N419" s="256"/>
      <c r="O419" s="388"/>
      <c r="AA419" s="50"/>
      <c r="AD419" s="244"/>
      <c r="AE419" s="341" t="str">
        <f>IF(OR(AM419="",AM419=0,AJ419="",AG419=""),"",
(IF(AND(AF416=$P$4,AM419&lt;=$R$4),$V$4,0)+IF(AND(AF416=$P$5,AM419&lt;=$R$5),$V$5,0)+IF(AND(AF416=$P$6,AM419&lt;=$R$6),$V$6,0)+IF(AND(AF416=$P$7,AM419&lt;=$R$7),$V$7,0))
)</f>
        <v/>
      </c>
      <c r="AF419" s="153" t="s">
        <v>303</v>
      </c>
      <c r="AG419" s="598"/>
      <c r="AH419" s="599"/>
      <c r="AI419" s="600"/>
      <c r="AJ419" s="598"/>
      <c r="AK419" s="599"/>
      <c r="AL419" s="600"/>
      <c r="AM419" s="384"/>
      <c r="AN419" s="256"/>
      <c r="AO419" s="388"/>
    </row>
    <row r="420" spans="4:50" x14ac:dyDescent="0.3">
      <c r="D420" s="244"/>
      <c r="E420" s="341" t="str">
        <f>IF(OR(M420="",M420=0,J420="",G420=""),"",
(IF(AND(F416=$P$4,M420&lt;=$R$4),$V$4,0)+IF(AND(F416=$P$5,M420&lt;=$R$5),$V$5,0)+IF(AND(F416=$P$6,M420&lt;=$R$6),$V$6,0)+IF(AND(F416=$P$7,M420&lt;=$R$7),$V$7,0))
)</f>
        <v/>
      </c>
      <c r="F420" s="153" t="s">
        <v>304</v>
      </c>
      <c r="G420" s="616"/>
      <c r="H420" s="617"/>
      <c r="I420" s="618"/>
      <c r="J420" s="616"/>
      <c r="K420" s="617"/>
      <c r="L420" s="618"/>
      <c r="M420" s="255"/>
      <c r="N420" s="256"/>
      <c r="O420" s="388"/>
      <c r="AA420" s="50"/>
      <c r="AD420" s="244"/>
      <c r="AE420" s="341" t="str">
        <f>IF(OR(AM420="",AM420=0,AJ420="",AG420=""),"",
(IF(AND(AF416=$P$4,AM420&lt;=$R$4),$V$4,0)+IF(AND(AF416=$P$5,AM420&lt;=$R$5),$V$5,0)+IF(AND(AF416=$P$6,AM420&lt;=$R$6),$V$6,0)+IF(AND(AF416=$P$7,AM420&lt;=$R$7),$V$7,0))
)</f>
        <v/>
      </c>
      <c r="AF420" s="153" t="s">
        <v>304</v>
      </c>
      <c r="AG420" s="598"/>
      <c r="AH420" s="599"/>
      <c r="AI420" s="600"/>
      <c r="AJ420" s="598"/>
      <c r="AK420" s="599"/>
      <c r="AL420" s="600"/>
      <c r="AM420" s="384"/>
      <c r="AN420" s="256"/>
      <c r="AO420" s="388"/>
    </row>
    <row r="421" spans="4:50" x14ac:dyDescent="0.3">
      <c r="D421" s="244"/>
      <c r="E421" s="341" t="str">
        <f>IF(OR(M421="",M421=0,J421="",G421=""),"",
(IF(AND(F416=$P$4,M421&lt;=$R$4),$V$4,0)+IF(AND(F416=$P$5,M421&lt;=$R$5),$V$5,0)+IF(AND(F416=$P$6,M421&lt;=$R$6),$V$6,0)+IF(AND(F416=$P$7,M421&lt;=$R$7),$V$7,0))
)</f>
        <v/>
      </c>
      <c r="F421" s="153" t="s">
        <v>305</v>
      </c>
      <c r="G421" s="616"/>
      <c r="H421" s="617"/>
      <c r="I421" s="618"/>
      <c r="J421" s="616"/>
      <c r="K421" s="617"/>
      <c r="L421" s="618"/>
      <c r="M421" s="255"/>
      <c r="N421" s="256"/>
      <c r="O421" s="388"/>
      <c r="AA421" s="50"/>
      <c r="AD421" s="244"/>
      <c r="AE421" s="341" t="str">
        <f>IF(OR(AM421="",AM421=0,AJ421="",AG421=""),"",
(IF(AND(AF416=$P$4,AM421&lt;=$R$4),$V$4,0)+IF(AND(AF416=$P$5,AM421&lt;=$R$5),$V$5,0)+IF(AND(AF416=$P$6,AM421&lt;=$R$6),$V$6,0)+IF(AND(AF416=$P$7,AM421&lt;=$R$7),$V$7,0))
)</f>
        <v/>
      </c>
      <c r="AF421" s="153" t="s">
        <v>305</v>
      </c>
      <c r="AG421" s="598"/>
      <c r="AH421" s="599"/>
      <c r="AI421" s="600"/>
      <c r="AJ421" s="598"/>
      <c r="AK421" s="599"/>
      <c r="AL421" s="600"/>
      <c r="AM421" s="384"/>
      <c r="AN421" s="256"/>
      <c r="AO421" s="388"/>
    </row>
    <row r="422" spans="4:50" x14ac:dyDescent="0.3">
      <c r="D422" s="244"/>
      <c r="E422" s="341" t="str">
        <f>IF(OR(M422="",M422=0,J422="",G422=""),"",
(IF(AND(F416=$P$4,M422&lt;=$R$4),$V$4,0)+IF(AND(F416=$P$5,M422&lt;=$R$5),$V$5,0)+IF(AND(F416=$P$6,M422&lt;=$R$6),$V$6,0)+IF(AND(F416=$P$7,M422&lt;=$R$7),$V$7,0))
)</f>
        <v/>
      </c>
      <c r="F422" s="153" t="s">
        <v>306</v>
      </c>
      <c r="G422" s="616"/>
      <c r="H422" s="617"/>
      <c r="I422" s="618"/>
      <c r="J422" s="616"/>
      <c r="K422" s="617"/>
      <c r="L422" s="618"/>
      <c r="M422" s="255"/>
      <c r="N422" s="256"/>
      <c r="O422" s="388"/>
      <c r="AA422" s="50"/>
      <c r="AD422" s="244"/>
      <c r="AE422" s="341" t="str">
        <f>IF(OR(AM422="",AM422=0,AJ422="",AG422=""),"",
(IF(AND(AF416=$P$4,AM422&lt;=$R$4),$V$4,0)+IF(AND(AF416=$P$5,AM422&lt;=$R$5),$V$5,0)+IF(AND(AF416=$P$6,AM422&lt;=$R$6),$V$6,0)+IF(AND(AF416=$P$7,AM422&lt;=$R$7),$V$7,0))
)</f>
        <v/>
      </c>
      <c r="AF422" s="153" t="s">
        <v>306</v>
      </c>
      <c r="AG422" s="598"/>
      <c r="AH422" s="599"/>
      <c r="AI422" s="600"/>
      <c r="AJ422" s="598"/>
      <c r="AK422" s="599"/>
      <c r="AL422" s="600"/>
      <c r="AM422" s="384"/>
      <c r="AN422" s="256"/>
      <c r="AO422" s="388"/>
    </row>
    <row r="423" spans="4:50" ht="15" customHeight="1" x14ac:dyDescent="0.3">
      <c r="D423" s="244"/>
      <c r="E423" s="341" t="str">
        <f>IF(OR(M423="",M423=0,J423="",G423=""),"",
(IF(AND(F416=$P$4,M423&lt;=$R$4),$V$4,0)+IF(AND(F416=$P$5,M423&lt;=$R$5),$V$5,0)+IF(AND(F416=$P$6,M423&lt;=$R$6),$V$6,0)+IF(AND(F416=$P$7,M423&lt;=$R$7),$V$7,0))
)</f>
        <v/>
      </c>
      <c r="F423" s="153" t="s">
        <v>307</v>
      </c>
      <c r="G423" s="616"/>
      <c r="H423" s="617"/>
      <c r="I423" s="618"/>
      <c r="J423" s="616"/>
      <c r="K423" s="617"/>
      <c r="L423" s="618"/>
      <c r="M423" s="255"/>
      <c r="N423" s="256"/>
      <c r="O423" s="388"/>
      <c r="AA423" s="50"/>
      <c r="AD423" s="244"/>
      <c r="AE423" s="341" t="str">
        <f>IF(OR(AM423="",AM423=0,AJ423="",AG423=""),"",
(IF(AND(AF416=$P$4,AM423&lt;=$R$4),$V$4,0)+IF(AND(AF416=$P$5,AM423&lt;=$R$5),$V$5,0)+IF(AND(AF416=$P$6,AM423&lt;=$R$6),$V$6,0)+IF(AND(AF416=$P$7,AM423&lt;=$R$7),$V$7,0))
)</f>
        <v/>
      </c>
      <c r="AF423" s="153" t="s">
        <v>307</v>
      </c>
      <c r="AG423" s="598"/>
      <c r="AH423" s="599"/>
      <c r="AI423" s="600"/>
      <c r="AJ423" s="598"/>
      <c r="AK423" s="599"/>
      <c r="AL423" s="600"/>
      <c r="AM423" s="384"/>
      <c r="AN423" s="256"/>
      <c r="AO423" s="388"/>
    </row>
    <row r="424" spans="4:50" ht="15" customHeight="1" x14ac:dyDescent="0.3">
      <c r="D424" s="244"/>
      <c r="E424" s="341" t="str">
        <f>IF(OR(M424="",M424=0,J424="",G424=""),"",
(IF(AND(F416=$P$4,M424&lt;=$R$4),$V$4,0)+IF(AND(F416=$P$5,M424&lt;=$R$5),$V$5,0)+IF(AND(F416=$P$6,M424&lt;=$R$6),$V$6,0)+IF(AND(F416=$P$7,M424&lt;=$R$7),$V$7,0))
)</f>
        <v/>
      </c>
      <c r="F424" s="153" t="s">
        <v>308</v>
      </c>
      <c r="G424" s="616"/>
      <c r="H424" s="617"/>
      <c r="I424" s="618"/>
      <c r="J424" s="616"/>
      <c r="K424" s="617"/>
      <c r="L424" s="618"/>
      <c r="M424" s="255"/>
      <c r="N424" s="256"/>
      <c r="O424" s="388"/>
      <c r="AA424" s="50"/>
      <c r="AD424" s="244"/>
      <c r="AE424" s="341" t="str">
        <f>IF(OR(AM424="",AM424=0,AJ424="",AG424=""),"",
(IF(AND(AF416=$P$4,AM424&lt;=$R$4),$V$4,0)+IF(AND(AF416=$P$5,AM424&lt;=$R$5),$V$5,0)+IF(AND(AF416=$P$6,AM424&lt;=$R$6),$V$6,0)+IF(AND(AF416=$P$7,AM424&lt;=$R$7),$V$7,0))
)</f>
        <v/>
      </c>
      <c r="AF424" s="153" t="s">
        <v>308</v>
      </c>
      <c r="AG424" s="598"/>
      <c r="AH424" s="599"/>
      <c r="AI424" s="600"/>
      <c r="AJ424" s="598"/>
      <c r="AK424" s="599"/>
      <c r="AL424" s="600"/>
      <c r="AM424" s="384"/>
      <c r="AN424" s="256"/>
      <c r="AO424" s="388"/>
    </row>
    <row r="425" spans="4:50" ht="15" customHeight="1" thickBot="1" x14ac:dyDescent="0.35">
      <c r="D425" s="203"/>
      <c r="E425" s="3"/>
      <c r="F425" s="3"/>
      <c r="G425" s="3"/>
      <c r="H425" s="3"/>
      <c r="I425" s="3"/>
      <c r="J425" s="3"/>
      <c r="K425" s="3"/>
      <c r="L425" s="3"/>
      <c r="M425" s="3"/>
      <c r="N425" s="204"/>
      <c r="P425" s="2"/>
      <c r="AA425" s="50"/>
      <c r="AD425" s="203"/>
      <c r="AE425" s="3"/>
      <c r="AF425" s="3"/>
      <c r="AG425" s="3"/>
      <c r="AH425" s="3"/>
      <c r="AI425" s="3"/>
      <c r="AJ425" s="3"/>
      <c r="AK425" s="3"/>
      <c r="AL425" s="3"/>
      <c r="AM425" s="3"/>
      <c r="AN425" s="204"/>
      <c r="AP425" s="2"/>
    </row>
    <row r="426" spans="4:50" ht="15" customHeight="1" x14ac:dyDescent="0.3">
      <c r="D426" s="601" t="str">
        <f>IF(
OR(
OR(F428=$P$4,F428=$P$5,F428=$P$6,F428=$P$7),AND(G430="",G431="",G432="",G433="",G434="",G435="",G436="",J430="",J431="",J432="",J433="",J434="",J435="",J436="",M430="",M431="",M432="",M433="",M434="",M435="",M436="",K427="",K428="")
),
"",
"A Set-Aside must be selected."
)</f>
        <v/>
      </c>
      <c r="E426" s="602"/>
      <c r="F426" s="602"/>
      <c r="G426" s="602"/>
      <c r="H426" s="602"/>
      <c r="I426" s="602"/>
      <c r="J426" s="602"/>
      <c r="K426" s="602"/>
      <c r="L426" s="602"/>
      <c r="M426" s="602"/>
      <c r="N426" s="603"/>
      <c r="O426" s="2"/>
      <c r="AA426" s="50"/>
      <c r="AD426" s="601" t="str">
        <f>IF(
OR(
OR(AF428=$P$4,AF428=$P$5,AF428=$P$6,AF428=$P$7),AND(AG430="",AG431="",AG432="",AG433="",AG434="",AG435="",AG436="",AJ430="",AJ431="",AJ432="",AJ433="",AJ434="",AJ435="",AJ436="",AM430="",AM431="",AM432="",AM433="",AM434="",AM435="",AM436="",AK427="",AK428="")
),
"",
"A Set-Aside must be selected."
)</f>
        <v/>
      </c>
      <c r="AE426" s="602"/>
      <c r="AF426" s="602"/>
      <c r="AG426" s="602"/>
      <c r="AH426" s="602"/>
      <c r="AI426" s="602"/>
      <c r="AJ426" s="602"/>
      <c r="AK426" s="602"/>
      <c r="AL426" s="602"/>
      <c r="AM426" s="602"/>
      <c r="AN426" s="603"/>
      <c r="AO426" s="2"/>
    </row>
    <row r="427" spans="4:50" ht="15" customHeight="1" x14ac:dyDescent="0.3">
      <c r="D427" s="199"/>
      <c r="E427" s="9" t="s">
        <v>30</v>
      </c>
      <c r="F427" s="86">
        <f>F415+1</f>
        <v>33</v>
      </c>
      <c r="G427" s="9" t="s">
        <v>175</v>
      </c>
      <c r="H427" s="9"/>
      <c r="I427" s="9"/>
      <c r="J427" s="168" t="s">
        <v>111</v>
      </c>
      <c r="K427" s="148"/>
      <c r="N427" s="200"/>
      <c r="R427" s="596" t="s">
        <v>302</v>
      </c>
      <c r="S427" s="596" t="s">
        <v>303</v>
      </c>
      <c r="T427" s="596" t="s">
        <v>304</v>
      </c>
      <c r="U427" s="596" t="s">
        <v>305</v>
      </c>
      <c r="V427" s="596" t="s">
        <v>306</v>
      </c>
      <c r="W427" s="596" t="s">
        <v>307</v>
      </c>
      <c r="X427" s="596" t="s">
        <v>308</v>
      </c>
      <c r="AA427" s="50"/>
      <c r="AD427" s="199"/>
      <c r="AE427" s="9" t="s">
        <v>30</v>
      </c>
      <c r="AF427" s="86">
        <f>AF415+1</f>
        <v>33</v>
      </c>
      <c r="AG427" s="9" t="s">
        <v>175</v>
      </c>
      <c r="AH427" s="9"/>
      <c r="AI427" s="9"/>
      <c r="AJ427" s="168" t="s">
        <v>111</v>
      </c>
      <c r="AK427" s="382"/>
      <c r="AN427" s="200"/>
      <c r="AR427" s="596" t="s">
        <v>302</v>
      </c>
      <c r="AS427" s="596" t="s">
        <v>303</v>
      </c>
      <c r="AT427" s="596" t="s">
        <v>304</v>
      </c>
      <c r="AU427" s="596" t="s">
        <v>305</v>
      </c>
      <c r="AV427" s="596" t="s">
        <v>306</v>
      </c>
      <c r="AW427" s="596" t="s">
        <v>307</v>
      </c>
      <c r="AX427" s="596" t="s">
        <v>308</v>
      </c>
    </row>
    <row r="428" spans="4:50" x14ac:dyDescent="0.3">
      <c r="D428" s="604" t="s">
        <v>31</v>
      </c>
      <c r="E428" s="594"/>
      <c r="F428" s="151"/>
      <c r="G428" s="86" t="str">
        <f>IF(F428=$P$4,$Q$4,IF(F428=$P$5,$Q$5,IF(F428=$P$6,$Q$6,IF(F428=$P$7,Q$7,IF(F428=$P$8,"","")))))</f>
        <v/>
      </c>
      <c r="H428" s="201"/>
      <c r="I428" s="201"/>
      <c r="J428" s="168" t="s">
        <v>112</v>
      </c>
      <c r="K428" s="148"/>
      <c r="N428" s="200"/>
      <c r="R428" s="596"/>
      <c r="S428" s="596"/>
      <c r="T428" s="596"/>
      <c r="U428" s="596"/>
      <c r="V428" s="596"/>
      <c r="W428" s="596"/>
      <c r="X428" s="596"/>
      <c r="AA428" s="50"/>
      <c r="AD428" s="604" t="s">
        <v>31</v>
      </c>
      <c r="AE428" s="594"/>
      <c r="AF428" s="383"/>
      <c r="AG428" s="86" t="str">
        <f>IF(AF428=$P$4,$Q$4,IF(AF428=$P$5,$Q$5,IF(AF428=$P$6,$Q$6,IF(AF428=$P$7,AQ$7,IF(AF428=$P$8,"","")))))</f>
        <v/>
      </c>
      <c r="AH428" s="201"/>
      <c r="AI428" s="201"/>
      <c r="AJ428" s="168" t="s">
        <v>112</v>
      </c>
      <c r="AK428" s="382"/>
      <c r="AN428" s="200"/>
      <c r="AR428" s="596"/>
      <c r="AS428" s="596"/>
      <c r="AT428" s="596"/>
      <c r="AU428" s="596"/>
      <c r="AV428" s="596"/>
      <c r="AW428" s="596"/>
      <c r="AX428" s="596"/>
    </row>
    <row r="429" spans="4:50" x14ac:dyDescent="0.3">
      <c r="D429" s="244"/>
      <c r="E429" s="230" t="s">
        <v>52</v>
      </c>
      <c r="F429" s="9" t="s">
        <v>32</v>
      </c>
      <c r="G429" s="9" t="s">
        <v>33</v>
      </c>
      <c r="H429" s="9"/>
      <c r="I429" s="9"/>
      <c r="J429" s="9" t="s">
        <v>34</v>
      </c>
      <c r="K429" s="9"/>
      <c r="L429" s="9"/>
      <c r="M429" s="257" t="s">
        <v>35</v>
      </c>
      <c r="N429" s="202"/>
      <c r="O429" s="9"/>
      <c r="P429" s="198" t="s">
        <v>22</v>
      </c>
      <c r="Q429" s="198"/>
      <c r="R429" s="596"/>
      <c r="S429" s="596"/>
      <c r="T429" s="596"/>
      <c r="U429" s="596"/>
      <c r="V429" s="596"/>
      <c r="W429" s="596"/>
      <c r="X429" s="596"/>
      <c r="AA429" s="50"/>
      <c r="AD429" s="244"/>
      <c r="AE429" s="230" t="s">
        <v>52</v>
      </c>
      <c r="AF429" s="9" t="s">
        <v>32</v>
      </c>
      <c r="AG429" s="9" t="s">
        <v>33</v>
      </c>
      <c r="AH429" s="9"/>
      <c r="AI429" s="9"/>
      <c r="AJ429" s="9" t="s">
        <v>34</v>
      </c>
      <c r="AK429" s="9"/>
      <c r="AL429" s="9"/>
      <c r="AM429" s="257" t="s">
        <v>35</v>
      </c>
      <c r="AN429" s="202"/>
      <c r="AO429" s="9"/>
      <c r="AP429" s="198" t="s">
        <v>22</v>
      </c>
      <c r="AQ429" s="198"/>
      <c r="AR429" s="596"/>
      <c r="AS429" s="596"/>
      <c r="AT429" s="596"/>
      <c r="AU429" s="596"/>
      <c r="AV429" s="596"/>
      <c r="AW429" s="596"/>
      <c r="AX429" s="596"/>
    </row>
    <row r="430" spans="4:50" x14ac:dyDescent="0.3">
      <c r="D430" s="244"/>
      <c r="E430" s="355" t="str">
        <f>IF(OR(M430="",M430=0,J430="",G430=""),"",
(IF(AND(F428=$P$4,M430&lt;=$R$4),$V$4,0)+IF(AND(F428=$P$5,M430&lt;=$R$5),$V$5,0)+IF(AND(F428=$P$6,M430&lt;=$R$6),$V$6,0)+IF(AND(F428=$P$7,M430&lt;=$R$7),$V$7,0))
)</f>
        <v/>
      </c>
      <c r="F430" s="153" t="s">
        <v>302</v>
      </c>
      <c r="G430" s="616"/>
      <c r="H430" s="617"/>
      <c r="I430" s="618"/>
      <c r="J430" s="616"/>
      <c r="K430" s="617"/>
      <c r="L430" s="618"/>
      <c r="M430" s="255"/>
      <c r="N430" s="256"/>
      <c r="O430" s="388"/>
      <c r="P430" s="185">
        <f t="shared" ref="P430" si="511">IF(F428="",0,1)</f>
        <v>0</v>
      </c>
      <c r="R430" s="185" t="str">
        <f t="shared" ref="R430" si="512">E430</f>
        <v/>
      </c>
      <c r="S430" s="185" t="str">
        <f t="shared" ref="S430" si="513">E431</f>
        <v/>
      </c>
      <c r="T430" s="185" t="str">
        <f t="shared" ref="T430" si="514">E432</f>
        <v/>
      </c>
      <c r="U430" s="185" t="str">
        <f t="shared" ref="U430" si="515">E433</f>
        <v/>
      </c>
      <c r="V430" s="185" t="str">
        <f t="shared" ref="V430" si="516">E434</f>
        <v/>
      </c>
      <c r="W430" s="185" t="str">
        <f t="shared" ref="W430" si="517">E435</f>
        <v/>
      </c>
      <c r="X430" s="185" t="str">
        <f t="shared" ref="X430" si="518">E436</f>
        <v/>
      </c>
      <c r="AA430" s="50"/>
      <c r="AD430" s="244"/>
      <c r="AE430" s="355" t="str">
        <f>IF(OR(AM430="",AM430=0,AJ430="",AG430=""),"",
(IF(AND(AF428=$P$4,AM430&lt;=$R$4),$V$4,0)+IF(AND(AF428=$P$5,AM430&lt;=$R$5),$V$5,0)+IF(AND(AF428=$P$6,AM430&lt;=$R$6),$V$6,0)+IF(AND(AF428=$P$7,AM430&lt;=$R$7),$V$7,0))
)</f>
        <v/>
      </c>
      <c r="AF430" s="153" t="s">
        <v>302</v>
      </c>
      <c r="AG430" s="598"/>
      <c r="AH430" s="599"/>
      <c r="AI430" s="600"/>
      <c r="AJ430" s="598"/>
      <c r="AK430" s="599"/>
      <c r="AL430" s="600"/>
      <c r="AM430" s="384"/>
      <c r="AN430" s="256"/>
      <c r="AO430" s="388"/>
      <c r="AP430" s="185">
        <f t="shared" ref="AP430" si="519">IF(AF428="",0,1)</f>
        <v>0</v>
      </c>
      <c r="AR430" s="185" t="str">
        <f t="shared" ref="AR430" si="520">AE430</f>
        <v/>
      </c>
      <c r="AS430" s="185" t="str">
        <f t="shared" ref="AS430" si="521">AE431</f>
        <v/>
      </c>
      <c r="AT430" s="185" t="str">
        <f t="shared" ref="AT430" si="522">AE432</f>
        <v/>
      </c>
      <c r="AU430" s="185" t="str">
        <f t="shared" ref="AU430" si="523">AE433</f>
        <v/>
      </c>
      <c r="AV430" s="185" t="str">
        <f t="shared" ref="AV430" si="524">AE434</f>
        <v/>
      </c>
      <c r="AW430" s="185" t="str">
        <f t="shared" ref="AW430" si="525">AE435</f>
        <v/>
      </c>
      <c r="AX430" s="185" t="str">
        <f t="shared" ref="AX430" si="526">AE436</f>
        <v/>
      </c>
    </row>
    <row r="431" spans="4:50" x14ac:dyDescent="0.3">
      <c r="D431" s="244"/>
      <c r="E431" s="341" t="str">
        <f>IF(OR(M431="",M431=0,J431="",G431=""),"",
(IF(AND(F428=$P$4,M431&lt;=$R$4),$V$4,0)+IF(AND(F428=$P$5,M431&lt;=$R$5),$V$5,0)+IF(AND(F428=$P$6,M431&lt;=$R$6),$V$6,0)+IF(AND(F428=$P$7,M431&lt;=$R$7),$V$7,0))
)</f>
        <v/>
      </c>
      <c r="F431" s="153" t="s">
        <v>303</v>
      </c>
      <c r="G431" s="616"/>
      <c r="H431" s="617"/>
      <c r="I431" s="618"/>
      <c r="J431" s="616"/>
      <c r="K431" s="617"/>
      <c r="L431" s="618"/>
      <c r="M431" s="255"/>
      <c r="N431" s="256"/>
      <c r="O431" s="388"/>
      <c r="AA431" s="50"/>
      <c r="AD431" s="244"/>
      <c r="AE431" s="341" t="str">
        <f>IF(OR(AM431="",AM431=0,AJ431="",AG431=""),"",
(IF(AND(AF428=$P$4,AM431&lt;=$R$4),$V$4,0)+IF(AND(AF428=$P$5,AM431&lt;=$R$5),$V$5,0)+IF(AND(AF428=$P$6,AM431&lt;=$R$6),$V$6,0)+IF(AND(AF428=$P$7,AM431&lt;=$R$7),$V$7,0))
)</f>
        <v/>
      </c>
      <c r="AF431" s="153" t="s">
        <v>303</v>
      </c>
      <c r="AG431" s="598"/>
      <c r="AH431" s="599"/>
      <c r="AI431" s="600"/>
      <c r="AJ431" s="598"/>
      <c r="AK431" s="599"/>
      <c r="AL431" s="600"/>
      <c r="AM431" s="384"/>
      <c r="AN431" s="256"/>
      <c r="AO431" s="388"/>
    </row>
    <row r="432" spans="4:50" x14ac:dyDescent="0.3">
      <c r="D432" s="244"/>
      <c r="E432" s="341" t="str">
        <f>IF(OR(M432="",M432=0,J432="",G432=""),"",
(IF(AND(F428=$P$4,M432&lt;=$R$4),$V$4,0)+IF(AND(F428=$P$5,M432&lt;=$R$5),$V$5,0)+IF(AND(F428=$P$6,M432&lt;=$R$6),$V$6,0)+IF(AND(F428=$P$7,M432&lt;=$R$7),$V$7,0))
)</f>
        <v/>
      </c>
      <c r="F432" s="153" t="s">
        <v>304</v>
      </c>
      <c r="G432" s="616"/>
      <c r="H432" s="617"/>
      <c r="I432" s="618"/>
      <c r="J432" s="616"/>
      <c r="K432" s="617"/>
      <c r="L432" s="618"/>
      <c r="M432" s="255"/>
      <c r="N432" s="256"/>
      <c r="O432" s="388"/>
      <c r="AA432" s="50"/>
      <c r="AD432" s="244"/>
      <c r="AE432" s="341" t="str">
        <f>IF(OR(AM432="",AM432=0,AJ432="",AG432=""),"",
(IF(AND(AF428=$P$4,AM432&lt;=$R$4),$V$4,0)+IF(AND(AF428=$P$5,AM432&lt;=$R$5),$V$5,0)+IF(AND(AF428=$P$6,AM432&lt;=$R$6),$V$6,0)+IF(AND(AF428=$P$7,AM432&lt;=$R$7),$V$7,0))
)</f>
        <v/>
      </c>
      <c r="AF432" s="153" t="s">
        <v>304</v>
      </c>
      <c r="AG432" s="598"/>
      <c r="AH432" s="599"/>
      <c r="AI432" s="600"/>
      <c r="AJ432" s="598"/>
      <c r="AK432" s="599"/>
      <c r="AL432" s="600"/>
      <c r="AM432" s="384"/>
      <c r="AN432" s="256"/>
      <c r="AO432" s="388"/>
    </row>
    <row r="433" spans="4:50" ht="15" customHeight="1" x14ac:dyDescent="0.3">
      <c r="D433" s="244"/>
      <c r="E433" s="341" t="str">
        <f>IF(OR(M433="",M433=0,J433="",G433=""),"",
(IF(AND(F428=$P$4,M433&lt;=$R$4),$V$4,0)+IF(AND(F428=$P$5,M433&lt;=$R$5),$V$5,0)+IF(AND(F428=$P$6,M433&lt;=$R$6),$V$6,0)+IF(AND(F428=$P$7,M433&lt;=$R$7),$V$7,0))
)</f>
        <v/>
      </c>
      <c r="F433" s="153" t="s">
        <v>305</v>
      </c>
      <c r="G433" s="616"/>
      <c r="H433" s="617"/>
      <c r="I433" s="618"/>
      <c r="J433" s="616"/>
      <c r="K433" s="617"/>
      <c r="L433" s="618"/>
      <c r="M433" s="255"/>
      <c r="N433" s="256"/>
      <c r="O433" s="388"/>
      <c r="AA433" s="50"/>
      <c r="AD433" s="244"/>
      <c r="AE433" s="341" t="str">
        <f>IF(OR(AM433="",AM433=0,AJ433="",AG433=""),"",
(IF(AND(AF428=$P$4,AM433&lt;=$R$4),$V$4,0)+IF(AND(AF428=$P$5,AM433&lt;=$R$5),$V$5,0)+IF(AND(AF428=$P$6,AM433&lt;=$R$6),$V$6,0)+IF(AND(AF428=$P$7,AM433&lt;=$R$7),$V$7,0))
)</f>
        <v/>
      </c>
      <c r="AF433" s="153" t="s">
        <v>305</v>
      </c>
      <c r="AG433" s="598"/>
      <c r="AH433" s="599"/>
      <c r="AI433" s="600"/>
      <c r="AJ433" s="598"/>
      <c r="AK433" s="599"/>
      <c r="AL433" s="600"/>
      <c r="AM433" s="384"/>
      <c r="AN433" s="256"/>
      <c r="AO433" s="388"/>
    </row>
    <row r="434" spans="4:50" ht="15" customHeight="1" x14ac:dyDescent="0.3">
      <c r="D434" s="244"/>
      <c r="E434" s="341" t="str">
        <f>IF(OR(M434="",M434=0,J434="",G434=""),"",
(IF(AND(F428=$P$4,M434&lt;=$R$4),$V$4,0)+IF(AND(F428=$P$5,M434&lt;=$R$5),$V$5,0)+IF(AND(F428=$P$6,M434&lt;=$R$6),$V$6,0)+IF(AND(F428=$P$7,M434&lt;=$R$7),$V$7,0))
)</f>
        <v/>
      </c>
      <c r="F434" s="153" t="s">
        <v>306</v>
      </c>
      <c r="G434" s="616"/>
      <c r="H434" s="617"/>
      <c r="I434" s="618"/>
      <c r="J434" s="616"/>
      <c r="K434" s="617"/>
      <c r="L434" s="618"/>
      <c r="M434" s="255"/>
      <c r="N434" s="256"/>
      <c r="O434" s="388"/>
      <c r="AA434" s="50"/>
      <c r="AD434" s="244"/>
      <c r="AE434" s="341" t="str">
        <f>IF(OR(AM434="",AM434=0,AJ434="",AG434=""),"",
(IF(AND(AF428=$P$4,AM434&lt;=$R$4),$V$4,0)+IF(AND(AF428=$P$5,AM434&lt;=$R$5),$V$5,0)+IF(AND(AF428=$P$6,AM434&lt;=$R$6),$V$6,0)+IF(AND(AF428=$P$7,AM434&lt;=$R$7),$V$7,0))
)</f>
        <v/>
      </c>
      <c r="AF434" s="153" t="s">
        <v>306</v>
      </c>
      <c r="AG434" s="598"/>
      <c r="AH434" s="599"/>
      <c r="AI434" s="600"/>
      <c r="AJ434" s="598"/>
      <c r="AK434" s="599"/>
      <c r="AL434" s="600"/>
      <c r="AM434" s="384"/>
      <c r="AN434" s="256"/>
      <c r="AO434" s="388"/>
    </row>
    <row r="435" spans="4:50" ht="15" customHeight="1" x14ac:dyDescent="0.3">
      <c r="D435" s="244"/>
      <c r="E435" s="341" t="str">
        <f>IF(OR(M435="",M435=0,J435="",G435=""),"",
(IF(AND(F428=$P$4,M435&lt;=$R$4),$V$4,0)+IF(AND(F428=$P$5,M435&lt;=$R$5),$V$5,0)+IF(AND(F428=$P$6,M435&lt;=$R$6),$V$6,0)+IF(AND(F428=$P$7,M435&lt;=$R$7),$V$7,0))
)</f>
        <v/>
      </c>
      <c r="F435" s="153" t="s">
        <v>307</v>
      </c>
      <c r="G435" s="616"/>
      <c r="H435" s="617"/>
      <c r="I435" s="618"/>
      <c r="J435" s="616"/>
      <c r="K435" s="617"/>
      <c r="L435" s="618"/>
      <c r="M435" s="255"/>
      <c r="N435" s="256"/>
      <c r="O435" s="388"/>
      <c r="AA435" s="50"/>
      <c r="AD435" s="244"/>
      <c r="AE435" s="341" t="str">
        <f>IF(OR(AM435="",AM435=0,AJ435="",AG435=""),"",
(IF(AND(AF428=$P$4,AM435&lt;=$R$4),$V$4,0)+IF(AND(AF428=$P$5,AM435&lt;=$R$5),$V$5,0)+IF(AND(AF428=$P$6,AM435&lt;=$R$6),$V$6,0)+IF(AND(AF428=$P$7,AM435&lt;=$R$7),$V$7,0))
)</f>
        <v/>
      </c>
      <c r="AF435" s="153" t="s">
        <v>307</v>
      </c>
      <c r="AG435" s="598"/>
      <c r="AH435" s="599"/>
      <c r="AI435" s="600"/>
      <c r="AJ435" s="598"/>
      <c r="AK435" s="599"/>
      <c r="AL435" s="600"/>
      <c r="AM435" s="384"/>
      <c r="AN435" s="256"/>
      <c r="AO435" s="388"/>
    </row>
    <row r="436" spans="4:50" ht="15" customHeight="1" x14ac:dyDescent="0.3">
      <c r="D436" s="244"/>
      <c r="E436" s="341" t="str">
        <f>IF(OR(M436="",M436=0,J436="",G436=""),"",
(IF(AND(F428=$P$4,M436&lt;=$R$4),$V$4,0)+IF(AND(F428=$P$5,M436&lt;=$R$5),$V$5,0)+IF(AND(F428=$P$6,M436&lt;=$R$6),$V$6,0)+IF(AND(F428=$P$7,M436&lt;=$R$7),$V$7,0))
)</f>
        <v/>
      </c>
      <c r="F436" s="153" t="s">
        <v>308</v>
      </c>
      <c r="G436" s="616"/>
      <c r="H436" s="617"/>
      <c r="I436" s="618"/>
      <c r="J436" s="616"/>
      <c r="K436" s="617"/>
      <c r="L436" s="618"/>
      <c r="M436" s="255"/>
      <c r="N436" s="256"/>
      <c r="O436" s="388"/>
      <c r="AA436" s="50"/>
      <c r="AD436" s="244"/>
      <c r="AE436" s="341" t="str">
        <f>IF(OR(AM436="",AM436=0,AJ436="",AG436=""),"",
(IF(AND(AF428=$P$4,AM436&lt;=$R$4),$V$4,0)+IF(AND(AF428=$P$5,AM436&lt;=$R$5),$V$5,0)+IF(AND(AF428=$P$6,AM436&lt;=$R$6),$V$6,0)+IF(AND(AF428=$P$7,AM436&lt;=$R$7),$V$7,0))
)</f>
        <v/>
      </c>
      <c r="AF436" s="153" t="s">
        <v>308</v>
      </c>
      <c r="AG436" s="598"/>
      <c r="AH436" s="599"/>
      <c r="AI436" s="600"/>
      <c r="AJ436" s="598"/>
      <c r="AK436" s="599"/>
      <c r="AL436" s="600"/>
      <c r="AM436" s="384"/>
      <c r="AN436" s="256"/>
      <c r="AO436" s="388"/>
    </row>
    <row r="437" spans="4:50" ht="15" customHeight="1" thickBot="1" x14ac:dyDescent="0.35">
      <c r="D437" s="203"/>
      <c r="E437" s="3"/>
      <c r="F437" s="3"/>
      <c r="G437" s="3"/>
      <c r="H437" s="3"/>
      <c r="I437" s="3"/>
      <c r="J437" s="3"/>
      <c r="K437" s="3"/>
      <c r="L437" s="3"/>
      <c r="M437" s="3"/>
      <c r="N437" s="204"/>
      <c r="P437" s="2"/>
      <c r="AA437" s="50"/>
      <c r="AD437" s="203"/>
      <c r="AE437" s="3"/>
      <c r="AF437" s="3"/>
      <c r="AG437" s="3"/>
      <c r="AH437" s="3"/>
      <c r="AI437" s="3"/>
      <c r="AJ437" s="3"/>
      <c r="AK437" s="3"/>
      <c r="AL437" s="3"/>
      <c r="AM437" s="3"/>
      <c r="AN437" s="204"/>
      <c r="AP437" s="2"/>
    </row>
    <row r="438" spans="4:50" x14ac:dyDescent="0.3">
      <c r="D438" s="601" t="str">
        <f>IF(
OR(
OR(F440=$P$4,F440=$P$5,F440=$P$6,F440=$P$7),AND(G442="",G443="",G444="",G445="",G446="",G447="",G448="",J442="",J443="",J444="",J445="",J446="",J447="",J448="",M442="",M443="",M444="",M445="",M446="",M447="",M448="",K439="",K440="")
),
"",
"A Set-Aside must be selected."
)</f>
        <v/>
      </c>
      <c r="E438" s="602"/>
      <c r="F438" s="602"/>
      <c r="G438" s="602"/>
      <c r="H438" s="602"/>
      <c r="I438" s="602"/>
      <c r="J438" s="602"/>
      <c r="K438" s="602"/>
      <c r="L438" s="602"/>
      <c r="M438" s="602"/>
      <c r="N438" s="603"/>
      <c r="O438" s="2"/>
      <c r="AA438" s="50"/>
      <c r="AD438" s="601" t="str">
        <f>IF(
OR(
OR(AF440=$P$4,AF440=$P$5,AF440=$P$6,AF440=$P$7),AND(AG442="",AG443="",AG444="",AG445="",AG446="",AG447="",AG448="",AJ442="",AJ443="",AJ444="",AJ445="",AJ446="",AJ447="",AJ448="",AM442="",AM443="",AM444="",AM445="",AM446="",AM447="",AM448="",AK439="",AK440="")
),
"",
"A Set-Aside must be selected."
)</f>
        <v/>
      </c>
      <c r="AE438" s="602"/>
      <c r="AF438" s="602"/>
      <c r="AG438" s="602"/>
      <c r="AH438" s="602"/>
      <c r="AI438" s="602"/>
      <c r="AJ438" s="602"/>
      <c r="AK438" s="602"/>
      <c r="AL438" s="602"/>
      <c r="AM438" s="602"/>
      <c r="AN438" s="603"/>
      <c r="AO438" s="2"/>
    </row>
    <row r="439" spans="4:50" ht="15.75" customHeight="1" x14ac:dyDescent="0.3">
      <c r="D439" s="199"/>
      <c r="E439" s="9" t="s">
        <v>30</v>
      </c>
      <c r="F439" s="86">
        <f>F427+1</f>
        <v>34</v>
      </c>
      <c r="G439" s="9" t="s">
        <v>175</v>
      </c>
      <c r="H439" s="9"/>
      <c r="I439" s="9"/>
      <c r="J439" s="168" t="s">
        <v>111</v>
      </c>
      <c r="K439" s="148"/>
      <c r="N439" s="200"/>
      <c r="R439" s="596" t="s">
        <v>302</v>
      </c>
      <c r="S439" s="596" t="s">
        <v>303</v>
      </c>
      <c r="T439" s="596" t="s">
        <v>304</v>
      </c>
      <c r="U439" s="596" t="s">
        <v>305</v>
      </c>
      <c r="V439" s="596" t="s">
        <v>306</v>
      </c>
      <c r="W439" s="596" t="s">
        <v>307</v>
      </c>
      <c r="X439" s="596" t="s">
        <v>308</v>
      </c>
      <c r="AA439" s="50"/>
      <c r="AD439" s="199"/>
      <c r="AE439" s="9" t="s">
        <v>30</v>
      </c>
      <c r="AF439" s="86">
        <f>AF427+1</f>
        <v>34</v>
      </c>
      <c r="AG439" s="9" t="s">
        <v>175</v>
      </c>
      <c r="AH439" s="9"/>
      <c r="AI439" s="9"/>
      <c r="AJ439" s="168" t="s">
        <v>111</v>
      </c>
      <c r="AK439" s="382"/>
      <c r="AN439" s="200"/>
      <c r="AR439" s="596" t="s">
        <v>302</v>
      </c>
      <c r="AS439" s="596" t="s">
        <v>303</v>
      </c>
      <c r="AT439" s="596" t="s">
        <v>304</v>
      </c>
      <c r="AU439" s="596" t="s">
        <v>305</v>
      </c>
      <c r="AV439" s="596" t="s">
        <v>306</v>
      </c>
      <c r="AW439" s="596" t="s">
        <v>307</v>
      </c>
      <c r="AX439" s="596" t="s">
        <v>308</v>
      </c>
    </row>
    <row r="440" spans="4:50" x14ac:dyDescent="0.3">
      <c r="D440" s="604" t="s">
        <v>31</v>
      </c>
      <c r="E440" s="594"/>
      <c r="F440" s="151"/>
      <c r="G440" s="86" t="str">
        <f>IF(F440=$P$4,$Q$4,IF(F440=$P$5,$Q$5,IF(F440=$P$6,$Q$6,IF(F440=$P$7,Q$7,IF(F440=$P$8,"","")))))</f>
        <v/>
      </c>
      <c r="H440" s="201"/>
      <c r="I440" s="201"/>
      <c r="J440" s="168" t="s">
        <v>112</v>
      </c>
      <c r="K440" s="148"/>
      <c r="N440" s="200"/>
      <c r="R440" s="596"/>
      <c r="S440" s="596"/>
      <c r="T440" s="596"/>
      <c r="U440" s="596"/>
      <c r="V440" s="596"/>
      <c r="W440" s="596"/>
      <c r="X440" s="596"/>
      <c r="AA440" s="50"/>
      <c r="AD440" s="604" t="s">
        <v>31</v>
      </c>
      <c r="AE440" s="594"/>
      <c r="AF440" s="383"/>
      <c r="AG440" s="86" t="str">
        <f>IF(AF440=$P$4,$Q$4,IF(AF440=$P$5,$Q$5,IF(AF440=$P$6,$Q$6,IF(AF440=$P$7,AQ$7,IF(AF440=$P$8,"","")))))</f>
        <v/>
      </c>
      <c r="AH440" s="201"/>
      <c r="AI440" s="201"/>
      <c r="AJ440" s="168" t="s">
        <v>112</v>
      </c>
      <c r="AK440" s="382"/>
      <c r="AN440" s="200"/>
      <c r="AR440" s="596"/>
      <c r="AS440" s="596"/>
      <c r="AT440" s="596"/>
      <c r="AU440" s="596"/>
      <c r="AV440" s="596"/>
      <c r="AW440" s="596"/>
      <c r="AX440" s="596"/>
    </row>
    <row r="441" spans="4:50" x14ac:dyDescent="0.3">
      <c r="D441" s="244"/>
      <c r="E441" s="230" t="s">
        <v>52</v>
      </c>
      <c r="F441" s="9" t="s">
        <v>32</v>
      </c>
      <c r="G441" s="9" t="s">
        <v>33</v>
      </c>
      <c r="H441" s="9"/>
      <c r="I441" s="9"/>
      <c r="J441" s="9" t="s">
        <v>34</v>
      </c>
      <c r="K441" s="9"/>
      <c r="L441" s="9"/>
      <c r="M441" s="257" t="s">
        <v>35</v>
      </c>
      <c r="N441" s="202"/>
      <c r="O441" s="9"/>
      <c r="P441" s="198" t="s">
        <v>22</v>
      </c>
      <c r="Q441" s="198"/>
      <c r="R441" s="596"/>
      <c r="S441" s="596"/>
      <c r="T441" s="596"/>
      <c r="U441" s="596"/>
      <c r="V441" s="596"/>
      <c r="W441" s="596"/>
      <c r="X441" s="596"/>
      <c r="AA441" s="50"/>
      <c r="AD441" s="244"/>
      <c r="AE441" s="230" t="s">
        <v>52</v>
      </c>
      <c r="AF441" s="9" t="s">
        <v>32</v>
      </c>
      <c r="AG441" s="9" t="s">
        <v>33</v>
      </c>
      <c r="AH441" s="9"/>
      <c r="AI441" s="9"/>
      <c r="AJ441" s="9" t="s">
        <v>34</v>
      </c>
      <c r="AK441" s="9"/>
      <c r="AL441" s="9"/>
      <c r="AM441" s="257" t="s">
        <v>35</v>
      </c>
      <c r="AN441" s="202"/>
      <c r="AO441" s="9"/>
      <c r="AP441" s="198" t="s">
        <v>22</v>
      </c>
      <c r="AQ441" s="198"/>
      <c r="AR441" s="596"/>
      <c r="AS441" s="596"/>
      <c r="AT441" s="596"/>
      <c r="AU441" s="596"/>
      <c r="AV441" s="596"/>
      <c r="AW441" s="596"/>
      <c r="AX441" s="596"/>
    </row>
    <row r="442" spans="4:50" x14ac:dyDescent="0.3">
      <c r="D442" s="244"/>
      <c r="E442" s="355" t="str">
        <f>IF(OR(M442="",M442=0,J442="",G442=""),"",
(IF(AND(F440=$P$4,M442&lt;=$R$4),$V$4,0)+IF(AND(F440=$P$5,M442&lt;=$R$5),$V$5,0)+IF(AND(F440=$P$6,M442&lt;=$R$6),$V$6,0)+IF(AND(F440=$P$7,M442&lt;=$R$7),$V$7,0))
)</f>
        <v/>
      </c>
      <c r="F442" s="153" t="s">
        <v>302</v>
      </c>
      <c r="G442" s="616"/>
      <c r="H442" s="617"/>
      <c r="I442" s="618"/>
      <c r="J442" s="616"/>
      <c r="K442" s="617"/>
      <c r="L442" s="618"/>
      <c r="M442" s="255"/>
      <c r="N442" s="256"/>
      <c r="O442" s="388"/>
      <c r="P442" s="185">
        <f t="shared" ref="P442" si="527">IF(F440="",0,1)</f>
        <v>0</v>
      </c>
      <c r="R442" s="185" t="str">
        <f t="shared" ref="R442" si="528">E442</f>
        <v/>
      </c>
      <c r="S442" s="185" t="str">
        <f t="shared" ref="S442" si="529">E443</f>
        <v/>
      </c>
      <c r="T442" s="185" t="str">
        <f t="shared" ref="T442" si="530">E444</f>
        <v/>
      </c>
      <c r="U442" s="185" t="str">
        <f t="shared" ref="U442" si="531">E445</f>
        <v/>
      </c>
      <c r="V442" s="185" t="str">
        <f t="shared" ref="V442" si="532">E446</f>
        <v/>
      </c>
      <c r="W442" s="185" t="str">
        <f t="shared" ref="W442" si="533">E447</f>
        <v/>
      </c>
      <c r="X442" s="185" t="str">
        <f t="shared" ref="X442" si="534">E448</f>
        <v/>
      </c>
      <c r="AA442" s="50"/>
      <c r="AD442" s="244"/>
      <c r="AE442" s="355" t="str">
        <f>IF(OR(AM442="",AM442=0,AJ442="",AG442=""),"",
(IF(AND(AF440=$P$4,AM442&lt;=$R$4),$V$4,0)+IF(AND(AF440=$P$5,AM442&lt;=$R$5),$V$5,0)+IF(AND(AF440=$P$6,AM442&lt;=$R$6),$V$6,0)+IF(AND(AF440=$P$7,AM442&lt;=$R$7),$V$7,0))
)</f>
        <v/>
      </c>
      <c r="AF442" s="153" t="s">
        <v>302</v>
      </c>
      <c r="AG442" s="598"/>
      <c r="AH442" s="599"/>
      <c r="AI442" s="600"/>
      <c r="AJ442" s="598"/>
      <c r="AK442" s="599"/>
      <c r="AL442" s="600"/>
      <c r="AM442" s="384"/>
      <c r="AN442" s="256"/>
      <c r="AO442" s="388"/>
      <c r="AP442" s="185">
        <f t="shared" ref="AP442" si="535">IF(AF440="",0,1)</f>
        <v>0</v>
      </c>
      <c r="AR442" s="185" t="str">
        <f t="shared" ref="AR442" si="536">AE442</f>
        <v/>
      </c>
      <c r="AS442" s="185" t="str">
        <f t="shared" ref="AS442" si="537">AE443</f>
        <v/>
      </c>
      <c r="AT442" s="185" t="str">
        <f t="shared" ref="AT442" si="538">AE444</f>
        <v/>
      </c>
      <c r="AU442" s="185" t="str">
        <f t="shared" ref="AU442" si="539">AE445</f>
        <v/>
      </c>
      <c r="AV442" s="185" t="str">
        <f t="shared" ref="AV442" si="540">AE446</f>
        <v/>
      </c>
      <c r="AW442" s="185" t="str">
        <f t="shared" ref="AW442" si="541">AE447</f>
        <v/>
      </c>
      <c r="AX442" s="185" t="str">
        <f t="shared" ref="AX442" si="542">AE448</f>
        <v/>
      </c>
    </row>
    <row r="443" spans="4:50" ht="15" customHeight="1" x14ac:dyDescent="0.3">
      <c r="D443" s="244"/>
      <c r="E443" s="341" t="str">
        <f>IF(OR(M443="",M443=0,J443="",G443=""),"",
(IF(AND(F440=$P$4,M443&lt;=$R$4),$V$4,0)+IF(AND(F440=$P$5,M443&lt;=$R$5),$V$5,0)+IF(AND(F440=$P$6,M443&lt;=$R$6),$V$6,0)+IF(AND(F440=$P$7,M443&lt;=$R$7),$V$7,0))
)</f>
        <v/>
      </c>
      <c r="F443" s="153" t="s">
        <v>303</v>
      </c>
      <c r="G443" s="616"/>
      <c r="H443" s="617"/>
      <c r="I443" s="618"/>
      <c r="J443" s="616"/>
      <c r="K443" s="617"/>
      <c r="L443" s="618"/>
      <c r="M443" s="255"/>
      <c r="N443" s="256"/>
      <c r="O443" s="388"/>
      <c r="AA443" s="50"/>
      <c r="AD443" s="244"/>
      <c r="AE443" s="341" t="str">
        <f>IF(OR(AM443="",AM443=0,AJ443="",AG443=""),"",
(IF(AND(AF440=$P$4,AM443&lt;=$R$4),$V$4,0)+IF(AND(AF440=$P$5,AM443&lt;=$R$5),$V$5,0)+IF(AND(AF440=$P$6,AM443&lt;=$R$6),$V$6,0)+IF(AND(AF440=$P$7,AM443&lt;=$R$7),$V$7,0))
)</f>
        <v/>
      </c>
      <c r="AF443" s="153" t="s">
        <v>303</v>
      </c>
      <c r="AG443" s="598"/>
      <c r="AH443" s="599"/>
      <c r="AI443" s="600"/>
      <c r="AJ443" s="598"/>
      <c r="AK443" s="599"/>
      <c r="AL443" s="600"/>
      <c r="AM443" s="384"/>
      <c r="AN443" s="256"/>
      <c r="AO443" s="388"/>
    </row>
    <row r="444" spans="4:50" ht="15" customHeight="1" x14ac:dyDescent="0.3">
      <c r="D444" s="244"/>
      <c r="E444" s="341" t="str">
        <f>IF(OR(M444="",M444=0,J444="",G444=""),"",
(IF(AND(F440=$P$4,M444&lt;=$R$4),$V$4,0)+IF(AND(F440=$P$5,M444&lt;=$R$5),$V$5,0)+IF(AND(F440=$P$6,M444&lt;=$R$6),$V$6,0)+IF(AND(F440=$P$7,M444&lt;=$R$7),$V$7,0))
)</f>
        <v/>
      </c>
      <c r="F444" s="153" t="s">
        <v>304</v>
      </c>
      <c r="G444" s="616"/>
      <c r="H444" s="617"/>
      <c r="I444" s="618"/>
      <c r="J444" s="616"/>
      <c r="K444" s="617"/>
      <c r="L444" s="618"/>
      <c r="M444" s="255"/>
      <c r="N444" s="256"/>
      <c r="O444" s="388"/>
      <c r="AA444" s="50"/>
      <c r="AD444" s="244"/>
      <c r="AE444" s="341" t="str">
        <f>IF(OR(AM444="",AM444=0,AJ444="",AG444=""),"",
(IF(AND(AF440=$P$4,AM444&lt;=$R$4),$V$4,0)+IF(AND(AF440=$P$5,AM444&lt;=$R$5),$V$5,0)+IF(AND(AF440=$P$6,AM444&lt;=$R$6),$V$6,0)+IF(AND(AF440=$P$7,AM444&lt;=$R$7),$V$7,0))
)</f>
        <v/>
      </c>
      <c r="AF444" s="153" t="s">
        <v>304</v>
      </c>
      <c r="AG444" s="598"/>
      <c r="AH444" s="599"/>
      <c r="AI444" s="600"/>
      <c r="AJ444" s="598"/>
      <c r="AK444" s="599"/>
      <c r="AL444" s="600"/>
      <c r="AM444" s="384"/>
      <c r="AN444" s="256"/>
      <c r="AO444" s="388"/>
    </row>
    <row r="445" spans="4:50" ht="15" customHeight="1" x14ac:dyDescent="0.3">
      <c r="D445" s="244"/>
      <c r="E445" s="341" t="str">
        <f>IF(OR(M445="",M445=0,J445="",G445=""),"",
(IF(AND(F440=$P$4,M445&lt;=$R$4),$V$4,0)+IF(AND(F440=$P$5,M445&lt;=$R$5),$V$5,0)+IF(AND(F440=$P$6,M445&lt;=$R$6),$V$6,0)+IF(AND(F440=$P$7,M445&lt;=$R$7),$V$7,0))
)</f>
        <v/>
      </c>
      <c r="F445" s="153" t="s">
        <v>305</v>
      </c>
      <c r="G445" s="616"/>
      <c r="H445" s="617"/>
      <c r="I445" s="618"/>
      <c r="J445" s="616"/>
      <c r="K445" s="617"/>
      <c r="L445" s="618"/>
      <c r="M445" s="255"/>
      <c r="N445" s="256"/>
      <c r="O445" s="388"/>
      <c r="AA445" s="50"/>
      <c r="AD445" s="244"/>
      <c r="AE445" s="341" t="str">
        <f>IF(OR(AM445="",AM445=0,AJ445="",AG445=""),"",
(IF(AND(AF440=$P$4,AM445&lt;=$R$4),$V$4,0)+IF(AND(AF440=$P$5,AM445&lt;=$R$5),$V$5,0)+IF(AND(AF440=$P$6,AM445&lt;=$R$6),$V$6,0)+IF(AND(AF440=$P$7,AM445&lt;=$R$7),$V$7,0))
)</f>
        <v/>
      </c>
      <c r="AF445" s="153" t="s">
        <v>305</v>
      </c>
      <c r="AG445" s="598"/>
      <c r="AH445" s="599"/>
      <c r="AI445" s="600"/>
      <c r="AJ445" s="598"/>
      <c r="AK445" s="599"/>
      <c r="AL445" s="600"/>
      <c r="AM445" s="384"/>
      <c r="AN445" s="256"/>
      <c r="AO445" s="388"/>
    </row>
    <row r="446" spans="4:50" ht="15" customHeight="1" x14ac:dyDescent="0.3">
      <c r="D446" s="244"/>
      <c r="E446" s="341" t="str">
        <f>IF(OR(M446="",M446=0,J446="",G446=""),"",
(IF(AND(F440=$P$4,M446&lt;=$R$4),$V$4,0)+IF(AND(F440=$P$5,M446&lt;=$R$5),$V$5,0)+IF(AND(F440=$P$6,M446&lt;=$R$6),$V$6,0)+IF(AND(F440=$P$7,M446&lt;=$R$7),$V$7,0))
)</f>
        <v/>
      </c>
      <c r="F446" s="153" t="s">
        <v>306</v>
      </c>
      <c r="G446" s="616"/>
      <c r="H446" s="617"/>
      <c r="I446" s="618"/>
      <c r="J446" s="616"/>
      <c r="K446" s="617"/>
      <c r="L446" s="618"/>
      <c r="M446" s="255"/>
      <c r="N446" s="256"/>
      <c r="O446" s="388"/>
      <c r="AA446" s="50"/>
      <c r="AD446" s="244"/>
      <c r="AE446" s="341" t="str">
        <f>IF(OR(AM446="",AM446=0,AJ446="",AG446=""),"",
(IF(AND(AF440=$P$4,AM446&lt;=$R$4),$V$4,0)+IF(AND(AF440=$P$5,AM446&lt;=$R$5),$V$5,0)+IF(AND(AF440=$P$6,AM446&lt;=$R$6),$V$6,0)+IF(AND(AF440=$P$7,AM446&lt;=$R$7),$V$7,0))
)</f>
        <v/>
      </c>
      <c r="AF446" s="153" t="s">
        <v>306</v>
      </c>
      <c r="AG446" s="598"/>
      <c r="AH446" s="599"/>
      <c r="AI446" s="600"/>
      <c r="AJ446" s="598"/>
      <c r="AK446" s="599"/>
      <c r="AL446" s="600"/>
      <c r="AM446" s="384"/>
      <c r="AN446" s="256"/>
      <c r="AO446" s="388"/>
    </row>
    <row r="447" spans="4:50" ht="15" customHeight="1" x14ac:dyDescent="0.3">
      <c r="D447" s="244"/>
      <c r="E447" s="341" t="str">
        <f>IF(OR(M447="",M447=0,J447="",G447=""),"",
(IF(AND(F440=$P$4,M447&lt;=$R$4),$V$4,0)+IF(AND(F440=$P$5,M447&lt;=$R$5),$V$5,0)+IF(AND(F440=$P$6,M447&lt;=$R$6),$V$6,0)+IF(AND(F440=$P$7,M447&lt;=$R$7),$V$7,0))
)</f>
        <v/>
      </c>
      <c r="F447" s="153" t="s">
        <v>307</v>
      </c>
      <c r="G447" s="616"/>
      <c r="H447" s="617"/>
      <c r="I447" s="618"/>
      <c r="J447" s="616"/>
      <c r="K447" s="617"/>
      <c r="L447" s="618"/>
      <c r="M447" s="255"/>
      <c r="N447" s="256"/>
      <c r="O447" s="388"/>
      <c r="AA447" s="50"/>
      <c r="AD447" s="244"/>
      <c r="AE447" s="341" t="str">
        <f>IF(OR(AM447="",AM447=0,AJ447="",AG447=""),"",
(IF(AND(AF440=$P$4,AM447&lt;=$R$4),$V$4,0)+IF(AND(AF440=$P$5,AM447&lt;=$R$5),$V$5,0)+IF(AND(AF440=$P$6,AM447&lt;=$R$6),$V$6,0)+IF(AND(AF440=$P$7,AM447&lt;=$R$7),$V$7,0))
)</f>
        <v/>
      </c>
      <c r="AF447" s="153" t="s">
        <v>307</v>
      </c>
      <c r="AG447" s="598"/>
      <c r="AH447" s="599"/>
      <c r="AI447" s="600"/>
      <c r="AJ447" s="598"/>
      <c r="AK447" s="599"/>
      <c r="AL447" s="600"/>
      <c r="AM447" s="384"/>
      <c r="AN447" s="256"/>
      <c r="AO447" s="388"/>
    </row>
    <row r="448" spans="4:50" x14ac:dyDescent="0.3">
      <c r="D448" s="244"/>
      <c r="E448" s="341" t="str">
        <f>IF(OR(M448="",M448=0,J448="",G448=""),"",
(IF(AND(F440=$P$4,M448&lt;=$R$4),$V$4,0)+IF(AND(F440=$P$5,M448&lt;=$R$5),$V$5,0)+IF(AND(F440=$P$6,M448&lt;=$R$6),$V$6,0)+IF(AND(F440=$P$7,M448&lt;=$R$7),$V$7,0))
)</f>
        <v/>
      </c>
      <c r="F448" s="153" t="s">
        <v>308</v>
      </c>
      <c r="G448" s="616"/>
      <c r="H448" s="617"/>
      <c r="I448" s="618"/>
      <c r="J448" s="616"/>
      <c r="K448" s="617"/>
      <c r="L448" s="618"/>
      <c r="M448" s="255"/>
      <c r="N448" s="256"/>
      <c r="O448" s="388"/>
      <c r="AA448" s="50"/>
      <c r="AD448" s="244"/>
      <c r="AE448" s="341" t="str">
        <f>IF(OR(AM448="",AM448=0,AJ448="",AG448=""),"",
(IF(AND(AF440=$P$4,AM448&lt;=$R$4),$V$4,0)+IF(AND(AF440=$P$5,AM448&lt;=$R$5),$V$5,0)+IF(AND(AF440=$P$6,AM448&lt;=$R$6),$V$6,0)+IF(AND(AF440=$P$7,AM448&lt;=$R$7),$V$7,0))
)</f>
        <v/>
      </c>
      <c r="AF448" s="153" t="s">
        <v>308</v>
      </c>
      <c r="AG448" s="598"/>
      <c r="AH448" s="599"/>
      <c r="AI448" s="600"/>
      <c r="AJ448" s="598"/>
      <c r="AK448" s="599"/>
      <c r="AL448" s="600"/>
      <c r="AM448" s="384"/>
      <c r="AN448" s="256"/>
      <c r="AO448" s="388"/>
    </row>
    <row r="449" spans="4:50" ht="16.2" thickBot="1" x14ac:dyDescent="0.35">
      <c r="D449" s="203"/>
      <c r="E449" s="3"/>
      <c r="F449" s="3"/>
      <c r="G449" s="3"/>
      <c r="H449" s="3"/>
      <c r="I449" s="3"/>
      <c r="J449" s="3"/>
      <c r="K449" s="3"/>
      <c r="L449" s="3"/>
      <c r="M449" s="3"/>
      <c r="N449" s="204"/>
      <c r="P449" s="2"/>
      <c r="AA449" s="50"/>
      <c r="AD449" s="203"/>
      <c r="AE449" s="3"/>
      <c r="AF449" s="3"/>
      <c r="AG449" s="3"/>
      <c r="AH449" s="3"/>
      <c r="AI449" s="3"/>
      <c r="AJ449" s="3"/>
      <c r="AK449" s="3"/>
      <c r="AL449" s="3"/>
      <c r="AM449" s="3"/>
      <c r="AN449" s="204"/>
      <c r="AP449" s="2"/>
    </row>
    <row r="450" spans="4:50" x14ac:dyDescent="0.3">
      <c r="D450" s="601" t="str">
        <f>IF(
OR(
OR(F452=$P$4,F452=$P$5,F452=$P$6,F452=$P$7),AND(G454="",G455="",G456="",G457="",G458="",G459="",G460="",J454="",J455="",J456="",J457="",J458="",J459="",J460="",M454="",M455="",M456="",M457="",M458="",M459="",M460="",K451="",K452="")
),
"",
"A Set-Aside must be selected."
)</f>
        <v/>
      </c>
      <c r="E450" s="602"/>
      <c r="F450" s="602"/>
      <c r="G450" s="602"/>
      <c r="H450" s="602"/>
      <c r="I450" s="602"/>
      <c r="J450" s="602"/>
      <c r="K450" s="602"/>
      <c r="L450" s="602"/>
      <c r="M450" s="602"/>
      <c r="N450" s="603"/>
      <c r="O450" s="2"/>
      <c r="AA450" s="50"/>
      <c r="AD450" s="601" t="str">
        <f>IF(
OR(
OR(AF452=$P$4,AF452=$P$5,AF452=$P$6,AF452=$P$7),AND(AG454="",AG455="",AG456="",AG457="",AG458="",AG459="",AG460="",AJ454="",AJ455="",AJ456="",AJ457="",AJ458="",AJ459="",AJ460="",AM454="",AM455="",AM456="",AM457="",AM458="",AM459="",AM460="",AK451="",AK452="")
),
"",
"A Set-Aside must be selected."
)</f>
        <v/>
      </c>
      <c r="AE450" s="602"/>
      <c r="AF450" s="602"/>
      <c r="AG450" s="602"/>
      <c r="AH450" s="602"/>
      <c r="AI450" s="602"/>
      <c r="AJ450" s="602"/>
      <c r="AK450" s="602"/>
      <c r="AL450" s="602"/>
      <c r="AM450" s="602"/>
      <c r="AN450" s="603"/>
      <c r="AO450" s="2"/>
    </row>
    <row r="451" spans="4:50" ht="15.75" customHeight="1" x14ac:dyDescent="0.3">
      <c r="D451" s="199"/>
      <c r="E451" s="9" t="s">
        <v>30</v>
      </c>
      <c r="F451" s="86">
        <f>F439+1</f>
        <v>35</v>
      </c>
      <c r="G451" s="9" t="s">
        <v>175</v>
      </c>
      <c r="H451" s="9"/>
      <c r="I451" s="9"/>
      <c r="J451" s="168" t="s">
        <v>111</v>
      </c>
      <c r="K451" s="148"/>
      <c r="N451" s="200"/>
      <c r="R451" s="596" t="s">
        <v>302</v>
      </c>
      <c r="S451" s="596" t="s">
        <v>303</v>
      </c>
      <c r="T451" s="596" t="s">
        <v>304</v>
      </c>
      <c r="U451" s="596" t="s">
        <v>305</v>
      </c>
      <c r="V451" s="596" t="s">
        <v>306</v>
      </c>
      <c r="W451" s="596" t="s">
        <v>307</v>
      </c>
      <c r="X451" s="596" t="s">
        <v>308</v>
      </c>
      <c r="AA451" s="50"/>
      <c r="AD451" s="199"/>
      <c r="AE451" s="9" t="s">
        <v>30</v>
      </c>
      <c r="AF451" s="86">
        <f>AF439+1</f>
        <v>35</v>
      </c>
      <c r="AG451" s="9" t="s">
        <v>175</v>
      </c>
      <c r="AH451" s="9"/>
      <c r="AI451" s="9"/>
      <c r="AJ451" s="168" t="s">
        <v>111</v>
      </c>
      <c r="AK451" s="382"/>
      <c r="AN451" s="200"/>
      <c r="AR451" s="596" t="s">
        <v>302</v>
      </c>
      <c r="AS451" s="596" t="s">
        <v>303</v>
      </c>
      <c r="AT451" s="596" t="s">
        <v>304</v>
      </c>
      <c r="AU451" s="596" t="s">
        <v>305</v>
      </c>
      <c r="AV451" s="596" t="s">
        <v>306</v>
      </c>
      <c r="AW451" s="596" t="s">
        <v>307</v>
      </c>
      <c r="AX451" s="596" t="s">
        <v>308</v>
      </c>
    </row>
    <row r="452" spans="4:50" x14ac:dyDescent="0.3">
      <c r="D452" s="604" t="s">
        <v>31</v>
      </c>
      <c r="E452" s="594"/>
      <c r="F452" s="151"/>
      <c r="G452" s="86" t="str">
        <f>IF(F452=$P$4,$Q$4,IF(F452=$P$5,$Q$5,IF(F452=$P$6,$Q$6,IF(F452=$P$7,Q$7,IF(F452=$P$8,"","")))))</f>
        <v/>
      </c>
      <c r="H452" s="201"/>
      <c r="I452" s="201"/>
      <c r="J452" s="168" t="s">
        <v>112</v>
      </c>
      <c r="K452" s="148"/>
      <c r="N452" s="200"/>
      <c r="R452" s="596"/>
      <c r="S452" s="596"/>
      <c r="T452" s="596"/>
      <c r="U452" s="596"/>
      <c r="V452" s="596"/>
      <c r="W452" s="596"/>
      <c r="X452" s="596"/>
      <c r="AA452" s="50"/>
      <c r="AD452" s="604" t="s">
        <v>31</v>
      </c>
      <c r="AE452" s="594"/>
      <c r="AF452" s="383"/>
      <c r="AG452" s="86" t="str">
        <f>IF(AF452=$P$4,$Q$4,IF(AF452=$P$5,$Q$5,IF(AF452=$P$6,$Q$6,IF(AF452=$P$7,AQ$7,IF(AF452=$P$8,"","")))))</f>
        <v/>
      </c>
      <c r="AH452" s="201"/>
      <c r="AI452" s="201"/>
      <c r="AJ452" s="168" t="s">
        <v>112</v>
      </c>
      <c r="AK452" s="382"/>
      <c r="AN452" s="200"/>
      <c r="AR452" s="596"/>
      <c r="AS452" s="596"/>
      <c r="AT452" s="596"/>
      <c r="AU452" s="596"/>
      <c r="AV452" s="596"/>
      <c r="AW452" s="596"/>
      <c r="AX452" s="596"/>
    </row>
    <row r="453" spans="4:50" ht="15" customHeight="1" x14ac:dyDescent="0.3">
      <c r="D453" s="244"/>
      <c r="E453" s="230" t="s">
        <v>52</v>
      </c>
      <c r="F453" s="9" t="s">
        <v>32</v>
      </c>
      <c r="G453" s="9" t="s">
        <v>33</v>
      </c>
      <c r="H453" s="9"/>
      <c r="I453" s="9"/>
      <c r="J453" s="9" t="s">
        <v>34</v>
      </c>
      <c r="K453" s="9"/>
      <c r="L453" s="9"/>
      <c r="M453" s="257" t="s">
        <v>35</v>
      </c>
      <c r="N453" s="202"/>
      <c r="O453" s="9"/>
      <c r="P453" s="198" t="s">
        <v>22</v>
      </c>
      <c r="Q453" s="198"/>
      <c r="R453" s="596"/>
      <c r="S453" s="596"/>
      <c r="T453" s="596"/>
      <c r="U453" s="596"/>
      <c r="V453" s="596"/>
      <c r="W453" s="596"/>
      <c r="X453" s="596"/>
      <c r="AA453" s="50"/>
      <c r="AD453" s="244"/>
      <c r="AE453" s="230" t="s">
        <v>52</v>
      </c>
      <c r="AF453" s="9" t="s">
        <v>32</v>
      </c>
      <c r="AG453" s="9" t="s">
        <v>33</v>
      </c>
      <c r="AH453" s="9"/>
      <c r="AI453" s="9"/>
      <c r="AJ453" s="9" t="s">
        <v>34</v>
      </c>
      <c r="AK453" s="9"/>
      <c r="AL453" s="9"/>
      <c r="AM453" s="257" t="s">
        <v>35</v>
      </c>
      <c r="AN453" s="202"/>
      <c r="AO453" s="9"/>
      <c r="AP453" s="198" t="s">
        <v>22</v>
      </c>
      <c r="AQ453" s="198"/>
      <c r="AR453" s="596"/>
      <c r="AS453" s="596"/>
      <c r="AT453" s="596"/>
      <c r="AU453" s="596"/>
      <c r="AV453" s="596"/>
      <c r="AW453" s="596"/>
      <c r="AX453" s="596"/>
    </row>
    <row r="454" spans="4:50" ht="15" customHeight="1" x14ac:dyDescent="0.3">
      <c r="D454" s="244"/>
      <c r="E454" s="355" t="str">
        <f>IF(OR(M454="",M454=0,J454="",G454=""),"",
(IF(AND(F452=$P$4,M454&lt;=$R$4),$V$4,0)+IF(AND(F452=$P$5,M454&lt;=$R$5),$V$5,0)+IF(AND(F452=$P$6,M454&lt;=$R$6),$V$6,0)+IF(AND(F452=$P$7,M454&lt;=$R$7),$V$7,0))
)</f>
        <v/>
      </c>
      <c r="F454" s="153" t="s">
        <v>302</v>
      </c>
      <c r="G454" s="616"/>
      <c r="H454" s="617"/>
      <c r="I454" s="618"/>
      <c r="J454" s="616"/>
      <c r="K454" s="617"/>
      <c r="L454" s="618"/>
      <c r="M454" s="255"/>
      <c r="N454" s="256"/>
      <c r="O454" s="388"/>
      <c r="P454" s="185">
        <f t="shared" ref="P454" si="543">IF(F452="",0,1)</f>
        <v>0</v>
      </c>
      <c r="R454" s="185" t="str">
        <f t="shared" ref="R454" si="544">E454</f>
        <v/>
      </c>
      <c r="S454" s="185" t="str">
        <f t="shared" ref="S454" si="545">E455</f>
        <v/>
      </c>
      <c r="T454" s="185" t="str">
        <f t="shared" ref="T454" si="546">E456</f>
        <v/>
      </c>
      <c r="U454" s="185" t="str">
        <f t="shared" ref="U454" si="547">E457</f>
        <v/>
      </c>
      <c r="V454" s="185" t="str">
        <f t="shared" ref="V454" si="548">E458</f>
        <v/>
      </c>
      <c r="W454" s="185" t="str">
        <f t="shared" ref="W454" si="549">E459</f>
        <v/>
      </c>
      <c r="X454" s="185" t="str">
        <f t="shared" ref="X454" si="550">E460</f>
        <v/>
      </c>
      <c r="AA454" s="50"/>
      <c r="AD454" s="244"/>
      <c r="AE454" s="355" t="str">
        <f>IF(OR(AM454="",AM454=0,AJ454="",AG454=""),"",
(IF(AND(AF452=$P$4,AM454&lt;=$R$4),$V$4,0)+IF(AND(AF452=$P$5,AM454&lt;=$R$5),$V$5,0)+IF(AND(AF452=$P$6,AM454&lt;=$R$6),$V$6,0)+IF(AND(AF452=$P$7,AM454&lt;=$R$7),$V$7,0))
)</f>
        <v/>
      </c>
      <c r="AF454" s="153" t="s">
        <v>302</v>
      </c>
      <c r="AG454" s="598"/>
      <c r="AH454" s="599"/>
      <c r="AI454" s="600"/>
      <c r="AJ454" s="598"/>
      <c r="AK454" s="599"/>
      <c r="AL454" s="600"/>
      <c r="AM454" s="384"/>
      <c r="AN454" s="256"/>
      <c r="AO454" s="388"/>
      <c r="AP454" s="185">
        <f t="shared" ref="AP454" si="551">IF(AF452="",0,1)</f>
        <v>0</v>
      </c>
      <c r="AR454" s="185" t="str">
        <f t="shared" ref="AR454" si="552">AE454</f>
        <v/>
      </c>
      <c r="AS454" s="185" t="str">
        <f t="shared" ref="AS454" si="553">AE455</f>
        <v/>
      </c>
      <c r="AT454" s="185" t="str">
        <f t="shared" ref="AT454" si="554">AE456</f>
        <v/>
      </c>
      <c r="AU454" s="185" t="str">
        <f t="shared" ref="AU454" si="555">AE457</f>
        <v/>
      </c>
      <c r="AV454" s="185" t="str">
        <f t="shared" ref="AV454" si="556">AE458</f>
        <v/>
      </c>
      <c r="AW454" s="185" t="str">
        <f t="shared" ref="AW454" si="557">AE459</f>
        <v/>
      </c>
      <c r="AX454" s="185" t="str">
        <f t="shared" ref="AX454" si="558">AE460</f>
        <v/>
      </c>
    </row>
    <row r="455" spans="4:50" ht="15" customHeight="1" x14ac:dyDescent="0.3">
      <c r="D455" s="244"/>
      <c r="E455" s="341" t="str">
        <f>IF(OR(M455="",M455=0,J455="",G455=""),"",
(IF(AND(F452=$P$4,M455&lt;=$R$4),$V$4,0)+IF(AND(F452=$P$5,M455&lt;=$R$5),$V$5,0)+IF(AND(F452=$P$6,M455&lt;=$R$6),$V$6,0)+IF(AND(F452=$P$7,M455&lt;=$R$7),$V$7,0))
)</f>
        <v/>
      </c>
      <c r="F455" s="153" t="s">
        <v>303</v>
      </c>
      <c r="G455" s="616"/>
      <c r="H455" s="617"/>
      <c r="I455" s="618"/>
      <c r="J455" s="616"/>
      <c r="K455" s="617"/>
      <c r="L455" s="618"/>
      <c r="M455" s="255"/>
      <c r="N455" s="256"/>
      <c r="O455" s="388"/>
      <c r="AA455" s="50"/>
      <c r="AD455" s="244"/>
      <c r="AE455" s="341" t="str">
        <f>IF(OR(AM455="",AM455=0,AJ455="",AG455=""),"",
(IF(AND(AF452=$P$4,AM455&lt;=$R$4),$V$4,0)+IF(AND(AF452=$P$5,AM455&lt;=$R$5),$V$5,0)+IF(AND(AF452=$P$6,AM455&lt;=$R$6),$V$6,0)+IF(AND(AF452=$P$7,AM455&lt;=$R$7),$V$7,0))
)</f>
        <v/>
      </c>
      <c r="AF455" s="153" t="s">
        <v>303</v>
      </c>
      <c r="AG455" s="598"/>
      <c r="AH455" s="599"/>
      <c r="AI455" s="600"/>
      <c r="AJ455" s="598"/>
      <c r="AK455" s="599"/>
      <c r="AL455" s="600"/>
      <c r="AM455" s="384"/>
      <c r="AN455" s="256"/>
      <c r="AO455" s="388"/>
    </row>
    <row r="456" spans="4:50" ht="15" customHeight="1" x14ac:dyDescent="0.3">
      <c r="D456" s="244"/>
      <c r="E456" s="341" t="str">
        <f>IF(OR(M456="",M456=0,J456="",G456=""),"",
(IF(AND(F452=$P$4,M456&lt;=$R$4),$V$4,0)+IF(AND(F452=$P$5,M456&lt;=$R$5),$V$5,0)+IF(AND(F452=$P$6,M456&lt;=$R$6),$V$6,0)+IF(AND(F452=$P$7,M456&lt;=$R$7),$V$7,0))
)</f>
        <v/>
      </c>
      <c r="F456" s="153" t="s">
        <v>304</v>
      </c>
      <c r="G456" s="616"/>
      <c r="H456" s="617"/>
      <c r="I456" s="618"/>
      <c r="J456" s="616"/>
      <c r="K456" s="617"/>
      <c r="L456" s="618"/>
      <c r="M456" s="255"/>
      <c r="N456" s="256"/>
      <c r="O456" s="388"/>
      <c r="AA456" s="50"/>
      <c r="AD456" s="244"/>
      <c r="AE456" s="341" t="str">
        <f>IF(OR(AM456="",AM456=0,AJ456="",AG456=""),"",
(IF(AND(AF452=$P$4,AM456&lt;=$R$4),$V$4,0)+IF(AND(AF452=$P$5,AM456&lt;=$R$5),$V$5,0)+IF(AND(AF452=$P$6,AM456&lt;=$R$6),$V$6,0)+IF(AND(AF452=$P$7,AM456&lt;=$R$7),$V$7,0))
)</f>
        <v/>
      </c>
      <c r="AF456" s="153" t="s">
        <v>304</v>
      </c>
      <c r="AG456" s="598"/>
      <c r="AH456" s="599"/>
      <c r="AI456" s="600"/>
      <c r="AJ456" s="598"/>
      <c r="AK456" s="599"/>
      <c r="AL456" s="600"/>
      <c r="AM456" s="384"/>
      <c r="AN456" s="256"/>
      <c r="AO456" s="388"/>
    </row>
    <row r="457" spans="4:50" ht="15" customHeight="1" x14ac:dyDescent="0.3">
      <c r="D457" s="244"/>
      <c r="E457" s="341" t="str">
        <f>IF(OR(M457="",M457=0,J457="",G457=""),"",
(IF(AND(F452=$P$4,M457&lt;=$R$4),$V$4,0)+IF(AND(F452=$P$5,M457&lt;=$R$5),$V$5,0)+IF(AND(F452=$P$6,M457&lt;=$R$6),$V$6,0)+IF(AND(F452=$P$7,M457&lt;=$R$7),$V$7,0))
)</f>
        <v/>
      </c>
      <c r="F457" s="153" t="s">
        <v>305</v>
      </c>
      <c r="G457" s="616"/>
      <c r="H457" s="617"/>
      <c r="I457" s="618"/>
      <c r="J457" s="616"/>
      <c r="K457" s="617"/>
      <c r="L457" s="618"/>
      <c r="M457" s="255"/>
      <c r="N457" s="256"/>
      <c r="O457" s="388"/>
      <c r="AA457" s="50"/>
      <c r="AD457" s="244"/>
      <c r="AE457" s="341" t="str">
        <f>IF(OR(AM457="",AM457=0,AJ457="",AG457=""),"",
(IF(AND(AF452=$P$4,AM457&lt;=$R$4),$V$4,0)+IF(AND(AF452=$P$5,AM457&lt;=$R$5),$V$5,0)+IF(AND(AF452=$P$6,AM457&lt;=$R$6),$V$6,0)+IF(AND(AF452=$P$7,AM457&lt;=$R$7),$V$7,0))
)</f>
        <v/>
      </c>
      <c r="AF457" s="153" t="s">
        <v>305</v>
      </c>
      <c r="AG457" s="598"/>
      <c r="AH457" s="599"/>
      <c r="AI457" s="600"/>
      <c r="AJ457" s="598"/>
      <c r="AK457" s="599"/>
      <c r="AL457" s="600"/>
      <c r="AM457" s="384"/>
      <c r="AN457" s="256"/>
      <c r="AO457" s="388"/>
    </row>
    <row r="458" spans="4:50" x14ac:dyDescent="0.3">
      <c r="D458" s="244"/>
      <c r="E458" s="341" t="str">
        <f>IF(OR(M458="",M458=0,J458="",G458=""),"",
(IF(AND(F452=$P$4,M458&lt;=$R$4),$V$4,0)+IF(AND(F452=$P$5,M458&lt;=$R$5),$V$5,0)+IF(AND(F452=$P$6,M458&lt;=$R$6),$V$6,0)+IF(AND(F452=$P$7,M458&lt;=$R$7),$V$7,0))
)</f>
        <v/>
      </c>
      <c r="F458" s="153" t="s">
        <v>306</v>
      </c>
      <c r="G458" s="616"/>
      <c r="H458" s="617"/>
      <c r="I458" s="618"/>
      <c r="J458" s="616"/>
      <c r="K458" s="617"/>
      <c r="L458" s="618"/>
      <c r="M458" s="255"/>
      <c r="N458" s="256"/>
      <c r="O458" s="388"/>
      <c r="AA458" s="50"/>
      <c r="AD458" s="244"/>
      <c r="AE458" s="341" t="str">
        <f>IF(OR(AM458="",AM458=0,AJ458="",AG458=""),"",
(IF(AND(AF452=$P$4,AM458&lt;=$R$4),$V$4,0)+IF(AND(AF452=$P$5,AM458&lt;=$R$5),$V$5,0)+IF(AND(AF452=$P$6,AM458&lt;=$R$6),$V$6,0)+IF(AND(AF452=$P$7,AM458&lt;=$R$7),$V$7,0))
)</f>
        <v/>
      </c>
      <c r="AF458" s="153" t="s">
        <v>306</v>
      </c>
      <c r="AG458" s="598"/>
      <c r="AH458" s="599"/>
      <c r="AI458" s="600"/>
      <c r="AJ458" s="598"/>
      <c r="AK458" s="599"/>
      <c r="AL458" s="600"/>
      <c r="AM458" s="384"/>
      <c r="AN458" s="256"/>
      <c r="AO458" s="388"/>
    </row>
    <row r="459" spans="4:50" x14ac:dyDescent="0.3">
      <c r="D459" s="244"/>
      <c r="E459" s="341" t="str">
        <f>IF(OR(M459="",M459=0,J459="",G459=""),"",
(IF(AND(F452=$P$4,M459&lt;=$R$4),$V$4,0)+IF(AND(F452=$P$5,M459&lt;=$R$5),$V$5,0)+IF(AND(F452=$P$6,M459&lt;=$R$6),$V$6,0)+IF(AND(F452=$P$7,M459&lt;=$R$7),$V$7,0))
)</f>
        <v/>
      </c>
      <c r="F459" s="153" t="s">
        <v>307</v>
      </c>
      <c r="G459" s="616"/>
      <c r="H459" s="617"/>
      <c r="I459" s="618"/>
      <c r="J459" s="616"/>
      <c r="K459" s="617"/>
      <c r="L459" s="618"/>
      <c r="M459" s="255"/>
      <c r="N459" s="256"/>
      <c r="O459" s="388"/>
      <c r="AA459" s="50"/>
      <c r="AD459" s="244"/>
      <c r="AE459" s="341" t="str">
        <f>IF(OR(AM459="",AM459=0,AJ459="",AG459=""),"",
(IF(AND(AF452=$P$4,AM459&lt;=$R$4),$V$4,0)+IF(AND(AF452=$P$5,AM459&lt;=$R$5),$V$5,0)+IF(AND(AF452=$P$6,AM459&lt;=$R$6),$V$6,0)+IF(AND(AF452=$P$7,AM459&lt;=$R$7),$V$7,0))
)</f>
        <v/>
      </c>
      <c r="AF459" s="153" t="s">
        <v>307</v>
      </c>
      <c r="AG459" s="598"/>
      <c r="AH459" s="599"/>
      <c r="AI459" s="600"/>
      <c r="AJ459" s="598"/>
      <c r="AK459" s="599"/>
      <c r="AL459" s="600"/>
      <c r="AM459" s="384"/>
      <c r="AN459" s="256"/>
      <c r="AO459" s="388"/>
    </row>
    <row r="460" spans="4:50" x14ac:dyDescent="0.3">
      <c r="D460" s="244"/>
      <c r="E460" s="341" t="str">
        <f>IF(OR(M460="",M460=0,J460="",G460=""),"",
(IF(AND(F452=$P$4,M460&lt;=$R$4),$V$4,0)+IF(AND(F452=$P$5,M460&lt;=$R$5),$V$5,0)+IF(AND(F452=$P$6,M460&lt;=$R$6),$V$6,0)+IF(AND(F452=$P$7,M460&lt;=$R$7),$V$7,0))
)</f>
        <v/>
      </c>
      <c r="F460" s="153" t="s">
        <v>308</v>
      </c>
      <c r="G460" s="616"/>
      <c r="H460" s="617"/>
      <c r="I460" s="618"/>
      <c r="J460" s="616"/>
      <c r="K460" s="617"/>
      <c r="L460" s="618"/>
      <c r="M460" s="255"/>
      <c r="N460" s="256"/>
      <c r="O460" s="388"/>
      <c r="AA460" s="50"/>
      <c r="AD460" s="244"/>
      <c r="AE460" s="341" t="str">
        <f>IF(OR(AM460="",AM460=0,AJ460="",AG460=""),"",
(IF(AND(AF452=$P$4,AM460&lt;=$R$4),$V$4,0)+IF(AND(AF452=$P$5,AM460&lt;=$R$5),$V$5,0)+IF(AND(AF452=$P$6,AM460&lt;=$R$6),$V$6,0)+IF(AND(AF452=$P$7,AM460&lt;=$R$7),$V$7,0))
)</f>
        <v/>
      </c>
      <c r="AF460" s="153" t="s">
        <v>308</v>
      </c>
      <c r="AG460" s="598"/>
      <c r="AH460" s="599"/>
      <c r="AI460" s="600"/>
      <c r="AJ460" s="598"/>
      <c r="AK460" s="599"/>
      <c r="AL460" s="600"/>
      <c r="AM460" s="384"/>
      <c r="AN460" s="256"/>
      <c r="AO460" s="388"/>
    </row>
    <row r="461" spans="4:50" ht="16.2" thickBot="1" x14ac:dyDescent="0.35">
      <c r="D461" s="203"/>
      <c r="E461" s="3"/>
      <c r="F461" s="3"/>
      <c r="G461" s="3"/>
      <c r="H461" s="3"/>
      <c r="I461" s="3"/>
      <c r="J461" s="3"/>
      <c r="K461" s="3"/>
      <c r="L461" s="3"/>
      <c r="M461" s="3"/>
      <c r="N461" s="204"/>
      <c r="P461" s="2"/>
      <c r="AA461" s="50"/>
      <c r="AD461" s="203"/>
      <c r="AE461" s="3"/>
      <c r="AF461" s="3"/>
      <c r="AG461" s="3"/>
      <c r="AH461" s="3"/>
      <c r="AI461" s="3"/>
      <c r="AJ461" s="3"/>
      <c r="AK461" s="3"/>
      <c r="AL461" s="3"/>
      <c r="AM461" s="3"/>
      <c r="AN461" s="204"/>
      <c r="AP461" s="2"/>
    </row>
    <row r="462" spans="4:50" x14ac:dyDescent="0.3">
      <c r="D462" s="601" t="str">
        <f>IF(
OR(
OR(F464=$P$4,F464=$P$5,F464=$P$6,F464=$P$7),AND(G466="",G467="",G468="",G469="",G470="",G471="",G472="",J466="",J467="",J468="",J469="",J470="",J471="",J472="",M466="",M467="",M468="",M469="",M470="",M471="",M472="",K463="",K464="")
),
"",
"A Set-Aside must be selected."
)</f>
        <v/>
      </c>
      <c r="E462" s="602"/>
      <c r="F462" s="602"/>
      <c r="G462" s="602"/>
      <c r="H462" s="602"/>
      <c r="I462" s="602"/>
      <c r="J462" s="602"/>
      <c r="K462" s="602"/>
      <c r="L462" s="602"/>
      <c r="M462" s="602"/>
      <c r="N462" s="603"/>
      <c r="O462" s="2"/>
      <c r="AA462" s="50"/>
      <c r="AD462" s="601" t="str">
        <f>IF(
OR(
OR(AF464=$P$4,AF464=$P$5,AF464=$P$6,AF464=$P$7),AND(AG466="",AG467="",AG468="",AG469="",AG470="",AG471="",AG472="",AJ466="",AJ467="",AJ468="",AJ469="",AJ470="",AJ471="",AJ472="",AM466="",AM467="",AM468="",AM469="",AM470="",AM471="",AM472="",AK463="",AK464="")
),
"",
"A Set-Aside must be selected."
)</f>
        <v/>
      </c>
      <c r="AE462" s="602"/>
      <c r="AF462" s="602"/>
      <c r="AG462" s="602"/>
      <c r="AH462" s="602"/>
      <c r="AI462" s="602"/>
      <c r="AJ462" s="602"/>
      <c r="AK462" s="602"/>
      <c r="AL462" s="602"/>
      <c r="AM462" s="602"/>
      <c r="AN462" s="603"/>
      <c r="AO462" s="2"/>
    </row>
    <row r="463" spans="4:50" ht="15" customHeight="1" x14ac:dyDescent="0.3">
      <c r="D463" s="199"/>
      <c r="E463" s="9" t="s">
        <v>30</v>
      </c>
      <c r="F463" s="86">
        <f>F451+1</f>
        <v>36</v>
      </c>
      <c r="G463" s="9" t="s">
        <v>175</v>
      </c>
      <c r="H463" s="9"/>
      <c r="I463" s="9"/>
      <c r="J463" s="168" t="s">
        <v>111</v>
      </c>
      <c r="K463" s="148"/>
      <c r="N463" s="200"/>
      <c r="R463" s="596" t="s">
        <v>302</v>
      </c>
      <c r="S463" s="596" t="s">
        <v>303</v>
      </c>
      <c r="T463" s="596" t="s">
        <v>304</v>
      </c>
      <c r="U463" s="596" t="s">
        <v>305</v>
      </c>
      <c r="V463" s="596" t="s">
        <v>306</v>
      </c>
      <c r="W463" s="596" t="s">
        <v>307</v>
      </c>
      <c r="X463" s="596" t="s">
        <v>308</v>
      </c>
      <c r="AA463" s="50"/>
      <c r="AD463" s="199"/>
      <c r="AE463" s="9" t="s">
        <v>30</v>
      </c>
      <c r="AF463" s="86">
        <f>AF451+1</f>
        <v>36</v>
      </c>
      <c r="AG463" s="9" t="s">
        <v>175</v>
      </c>
      <c r="AH463" s="9"/>
      <c r="AI463" s="9"/>
      <c r="AJ463" s="168" t="s">
        <v>111</v>
      </c>
      <c r="AK463" s="382"/>
      <c r="AN463" s="200"/>
      <c r="AR463" s="596" t="s">
        <v>302</v>
      </c>
      <c r="AS463" s="596" t="s">
        <v>303</v>
      </c>
      <c r="AT463" s="596" t="s">
        <v>304</v>
      </c>
      <c r="AU463" s="596" t="s">
        <v>305</v>
      </c>
      <c r="AV463" s="596" t="s">
        <v>306</v>
      </c>
      <c r="AW463" s="596" t="s">
        <v>307</v>
      </c>
      <c r="AX463" s="596" t="s">
        <v>308</v>
      </c>
    </row>
    <row r="464" spans="4:50" ht="15" customHeight="1" x14ac:dyDescent="0.3">
      <c r="D464" s="604" t="s">
        <v>31</v>
      </c>
      <c r="E464" s="594"/>
      <c r="F464" s="151"/>
      <c r="G464" s="86" t="str">
        <f>IF(F464=$P$4,$Q$4,IF(F464=$P$5,$Q$5,IF(F464=$P$6,$Q$6,IF(F464=$P$7,Q$7,IF(F464=$P$8,"","")))))</f>
        <v/>
      </c>
      <c r="H464" s="201"/>
      <c r="I464" s="201"/>
      <c r="J464" s="168" t="s">
        <v>112</v>
      </c>
      <c r="K464" s="148"/>
      <c r="N464" s="200"/>
      <c r="R464" s="596"/>
      <c r="S464" s="596"/>
      <c r="T464" s="596"/>
      <c r="U464" s="596"/>
      <c r="V464" s="596"/>
      <c r="W464" s="596"/>
      <c r="X464" s="596"/>
      <c r="AA464" s="50"/>
      <c r="AD464" s="604" t="s">
        <v>31</v>
      </c>
      <c r="AE464" s="594"/>
      <c r="AF464" s="383"/>
      <c r="AG464" s="86" t="str">
        <f>IF(AF464=$P$4,$Q$4,IF(AF464=$P$5,$Q$5,IF(AF464=$P$6,$Q$6,IF(AF464=$P$7,AQ$7,IF(AF464=$P$8,"","")))))</f>
        <v/>
      </c>
      <c r="AH464" s="201"/>
      <c r="AI464" s="201"/>
      <c r="AJ464" s="168" t="s">
        <v>112</v>
      </c>
      <c r="AK464" s="382"/>
      <c r="AN464" s="200"/>
      <c r="AR464" s="596"/>
      <c r="AS464" s="596"/>
      <c r="AT464" s="596"/>
      <c r="AU464" s="596"/>
      <c r="AV464" s="596"/>
      <c r="AW464" s="596"/>
      <c r="AX464" s="596"/>
    </row>
    <row r="465" spans="4:50" ht="15" customHeight="1" x14ac:dyDescent="0.3">
      <c r="D465" s="244"/>
      <c r="E465" s="230" t="s">
        <v>52</v>
      </c>
      <c r="F465" s="9" t="s">
        <v>32</v>
      </c>
      <c r="G465" s="9" t="s">
        <v>33</v>
      </c>
      <c r="H465" s="9"/>
      <c r="I465" s="9"/>
      <c r="J465" s="9" t="s">
        <v>34</v>
      </c>
      <c r="K465" s="9"/>
      <c r="L465" s="9"/>
      <c r="M465" s="257" t="s">
        <v>35</v>
      </c>
      <c r="N465" s="202"/>
      <c r="O465" s="9"/>
      <c r="P465" s="198" t="s">
        <v>22</v>
      </c>
      <c r="Q465" s="198"/>
      <c r="R465" s="596"/>
      <c r="S465" s="596"/>
      <c r="T465" s="596"/>
      <c r="U465" s="596"/>
      <c r="V465" s="596"/>
      <c r="W465" s="596"/>
      <c r="X465" s="596"/>
      <c r="AA465" s="50"/>
      <c r="AD465" s="244"/>
      <c r="AE465" s="230" t="s">
        <v>52</v>
      </c>
      <c r="AF465" s="9" t="s">
        <v>32</v>
      </c>
      <c r="AG465" s="9" t="s">
        <v>33</v>
      </c>
      <c r="AH465" s="9"/>
      <c r="AI465" s="9"/>
      <c r="AJ465" s="9" t="s">
        <v>34</v>
      </c>
      <c r="AK465" s="9"/>
      <c r="AL465" s="9"/>
      <c r="AM465" s="257" t="s">
        <v>35</v>
      </c>
      <c r="AN465" s="202"/>
      <c r="AO465" s="9"/>
      <c r="AP465" s="198" t="s">
        <v>22</v>
      </c>
      <c r="AQ465" s="198"/>
      <c r="AR465" s="596"/>
      <c r="AS465" s="596"/>
      <c r="AT465" s="596"/>
      <c r="AU465" s="596"/>
      <c r="AV465" s="596"/>
      <c r="AW465" s="596"/>
      <c r="AX465" s="596"/>
    </row>
    <row r="466" spans="4:50" ht="15" customHeight="1" x14ac:dyDescent="0.3">
      <c r="D466" s="244"/>
      <c r="E466" s="355" t="str">
        <f>IF(OR(M466="",M466=0,J466="",G466=""),"",
(IF(AND(F464=$P$4,M466&lt;=$R$4),$V$4,0)+IF(AND(F464=$P$5,M466&lt;=$R$5),$V$5,0)+IF(AND(F464=$P$6,M466&lt;=$R$6),$V$6,0)+IF(AND(F464=$P$7,M466&lt;=$R$7),$V$7,0))
)</f>
        <v/>
      </c>
      <c r="F466" s="153" t="s">
        <v>302</v>
      </c>
      <c r="G466" s="616"/>
      <c r="H466" s="617"/>
      <c r="I466" s="618"/>
      <c r="J466" s="616"/>
      <c r="K466" s="617"/>
      <c r="L466" s="618"/>
      <c r="M466" s="255"/>
      <c r="N466" s="256"/>
      <c r="O466" s="388"/>
      <c r="P466" s="185">
        <f t="shared" ref="P466" si="559">IF(F464="",0,1)</f>
        <v>0</v>
      </c>
      <c r="R466" s="185" t="str">
        <f t="shared" ref="R466" si="560">E466</f>
        <v/>
      </c>
      <c r="S466" s="185" t="str">
        <f t="shared" ref="S466" si="561">E467</f>
        <v/>
      </c>
      <c r="T466" s="185" t="str">
        <f t="shared" ref="T466" si="562">E468</f>
        <v/>
      </c>
      <c r="U466" s="185" t="str">
        <f t="shared" ref="U466" si="563">E469</f>
        <v/>
      </c>
      <c r="V466" s="185" t="str">
        <f t="shared" ref="V466" si="564">E470</f>
        <v/>
      </c>
      <c r="W466" s="185" t="str">
        <f t="shared" ref="W466" si="565">E471</f>
        <v/>
      </c>
      <c r="X466" s="185" t="str">
        <f t="shared" ref="X466" si="566">E472</f>
        <v/>
      </c>
      <c r="AA466" s="50"/>
      <c r="AD466" s="244"/>
      <c r="AE466" s="355" t="str">
        <f>IF(OR(AM466="",AM466=0,AJ466="",AG466=""),"",
(IF(AND(AF464=$P$4,AM466&lt;=$R$4),$V$4,0)+IF(AND(AF464=$P$5,AM466&lt;=$R$5),$V$5,0)+IF(AND(AF464=$P$6,AM466&lt;=$R$6),$V$6,0)+IF(AND(AF464=$P$7,AM466&lt;=$R$7),$V$7,0))
)</f>
        <v/>
      </c>
      <c r="AF466" s="153" t="s">
        <v>302</v>
      </c>
      <c r="AG466" s="598"/>
      <c r="AH466" s="599"/>
      <c r="AI466" s="600"/>
      <c r="AJ466" s="598"/>
      <c r="AK466" s="599"/>
      <c r="AL466" s="600"/>
      <c r="AM466" s="384"/>
      <c r="AN466" s="256"/>
      <c r="AO466" s="388"/>
      <c r="AP466" s="185">
        <f t="shared" ref="AP466" si="567">IF(AF464="",0,1)</f>
        <v>0</v>
      </c>
      <c r="AR466" s="185" t="str">
        <f t="shared" ref="AR466" si="568">AE466</f>
        <v/>
      </c>
      <c r="AS466" s="185" t="str">
        <f t="shared" ref="AS466" si="569">AE467</f>
        <v/>
      </c>
      <c r="AT466" s="185" t="str">
        <f t="shared" ref="AT466" si="570">AE468</f>
        <v/>
      </c>
      <c r="AU466" s="185" t="str">
        <f t="shared" ref="AU466" si="571">AE469</f>
        <v/>
      </c>
      <c r="AV466" s="185" t="str">
        <f t="shared" ref="AV466" si="572">AE470</f>
        <v/>
      </c>
      <c r="AW466" s="185" t="str">
        <f t="shared" ref="AW466" si="573">AE471</f>
        <v/>
      </c>
      <c r="AX466" s="185" t="str">
        <f t="shared" ref="AX466" si="574">AE472</f>
        <v/>
      </c>
    </row>
    <row r="467" spans="4:50" ht="15" customHeight="1" x14ac:dyDescent="0.3">
      <c r="D467" s="244"/>
      <c r="E467" s="341" t="str">
        <f>IF(OR(M467="",M467=0,J467="",G467=""),"",
(IF(AND(F464=$P$4,M467&lt;=$R$4),$V$4,0)+IF(AND(F464=$P$5,M467&lt;=$R$5),$V$5,0)+IF(AND(F464=$P$6,M467&lt;=$R$6),$V$6,0)+IF(AND(F464=$P$7,M467&lt;=$R$7),$V$7,0))
)</f>
        <v/>
      </c>
      <c r="F467" s="153" t="s">
        <v>303</v>
      </c>
      <c r="G467" s="616"/>
      <c r="H467" s="617"/>
      <c r="I467" s="618"/>
      <c r="J467" s="616"/>
      <c r="K467" s="617"/>
      <c r="L467" s="618"/>
      <c r="M467" s="255"/>
      <c r="N467" s="256"/>
      <c r="O467" s="388"/>
      <c r="AA467" s="50"/>
      <c r="AD467" s="244"/>
      <c r="AE467" s="341" t="str">
        <f>IF(OR(AM467="",AM467=0,AJ467="",AG467=""),"",
(IF(AND(AF464=$P$4,AM467&lt;=$R$4),$V$4,0)+IF(AND(AF464=$P$5,AM467&lt;=$R$5),$V$5,0)+IF(AND(AF464=$P$6,AM467&lt;=$R$6),$V$6,0)+IF(AND(AF464=$P$7,AM467&lt;=$R$7),$V$7,0))
)</f>
        <v/>
      </c>
      <c r="AF467" s="153" t="s">
        <v>303</v>
      </c>
      <c r="AG467" s="598"/>
      <c r="AH467" s="599"/>
      <c r="AI467" s="600"/>
      <c r="AJ467" s="598"/>
      <c r="AK467" s="599"/>
      <c r="AL467" s="600"/>
      <c r="AM467" s="384"/>
      <c r="AN467" s="256"/>
      <c r="AO467" s="388"/>
    </row>
    <row r="468" spans="4:50" x14ac:dyDescent="0.3">
      <c r="D468" s="244"/>
      <c r="E468" s="341" t="str">
        <f>IF(OR(M468="",M468=0,J468="",G468=""),"",
(IF(AND(F464=$P$4,M468&lt;=$R$4),$V$4,0)+IF(AND(F464=$P$5,M468&lt;=$R$5),$V$5,0)+IF(AND(F464=$P$6,M468&lt;=$R$6),$V$6,0)+IF(AND(F464=$P$7,M468&lt;=$R$7),$V$7,0))
)</f>
        <v/>
      </c>
      <c r="F468" s="153" t="s">
        <v>304</v>
      </c>
      <c r="G468" s="616"/>
      <c r="H468" s="617"/>
      <c r="I468" s="618"/>
      <c r="J468" s="616"/>
      <c r="K468" s="617"/>
      <c r="L468" s="618"/>
      <c r="M468" s="255"/>
      <c r="N468" s="256"/>
      <c r="O468" s="388"/>
      <c r="AA468" s="50"/>
      <c r="AD468" s="244"/>
      <c r="AE468" s="341" t="str">
        <f>IF(OR(AM468="",AM468=0,AJ468="",AG468=""),"",
(IF(AND(AF464=$P$4,AM468&lt;=$R$4),$V$4,0)+IF(AND(AF464=$P$5,AM468&lt;=$R$5),$V$5,0)+IF(AND(AF464=$P$6,AM468&lt;=$R$6),$V$6,0)+IF(AND(AF464=$P$7,AM468&lt;=$R$7),$V$7,0))
)</f>
        <v/>
      </c>
      <c r="AF468" s="153" t="s">
        <v>304</v>
      </c>
      <c r="AG468" s="598"/>
      <c r="AH468" s="599"/>
      <c r="AI468" s="600"/>
      <c r="AJ468" s="598"/>
      <c r="AK468" s="599"/>
      <c r="AL468" s="600"/>
      <c r="AM468" s="384"/>
      <c r="AN468" s="256"/>
      <c r="AO468" s="388"/>
    </row>
    <row r="469" spans="4:50" x14ac:dyDescent="0.3">
      <c r="D469" s="244"/>
      <c r="E469" s="341" t="str">
        <f>IF(OR(M469="",M469=0,J469="",G469=""),"",
(IF(AND(F464=$P$4,M469&lt;=$R$4),$V$4,0)+IF(AND(F464=$P$5,M469&lt;=$R$5),$V$5,0)+IF(AND(F464=$P$6,M469&lt;=$R$6),$V$6,0)+IF(AND(F464=$P$7,M469&lt;=$R$7),$V$7,0))
)</f>
        <v/>
      </c>
      <c r="F469" s="153" t="s">
        <v>305</v>
      </c>
      <c r="G469" s="616"/>
      <c r="H469" s="617"/>
      <c r="I469" s="618"/>
      <c r="J469" s="616"/>
      <c r="K469" s="617"/>
      <c r="L469" s="618"/>
      <c r="M469" s="255"/>
      <c r="N469" s="256"/>
      <c r="O469" s="388"/>
      <c r="AA469" s="50"/>
      <c r="AD469" s="244"/>
      <c r="AE469" s="341" t="str">
        <f>IF(OR(AM469="",AM469=0,AJ469="",AG469=""),"",
(IF(AND(AF464=$P$4,AM469&lt;=$R$4),$V$4,0)+IF(AND(AF464=$P$5,AM469&lt;=$R$5),$V$5,0)+IF(AND(AF464=$P$6,AM469&lt;=$R$6),$V$6,0)+IF(AND(AF464=$P$7,AM469&lt;=$R$7),$V$7,0))
)</f>
        <v/>
      </c>
      <c r="AF469" s="153" t="s">
        <v>305</v>
      </c>
      <c r="AG469" s="598"/>
      <c r="AH469" s="599"/>
      <c r="AI469" s="600"/>
      <c r="AJ469" s="598"/>
      <c r="AK469" s="599"/>
      <c r="AL469" s="600"/>
      <c r="AM469" s="384"/>
      <c r="AN469" s="256"/>
      <c r="AO469" s="388"/>
    </row>
    <row r="470" spans="4:50" x14ac:dyDescent="0.3">
      <c r="D470" s="244"/>
      <c r="E470" s="341" t="str">
        <f>IF(OR(M470="",M470=0,J470="",G470=""),"",
(IF(AND(F464=$P$4,M470&lt;=$R$4),$V$4,0)+IF(AND(F464=$P$5,M470&lt;=$R$5),$V$5,0)+IF(AND(F464=$P$6,M470&lt;=$R$6),$V$6,0)+IF(AND(F464=$P$7,M470&lt;=$R$7),$V$7,0))
)</f>
        <v/>
      </c>
      <c r="F470" s="153" t="s">
        <v>306</v>
      </c>
      <c r="G470" s="616"/>
      <c r="H470" s="617"/>
      <c r="I470" s="618"/>
      <c r="J470" s="616"/>
      <c r="K470" s="617"/>
      <c r="L470" s="618"/>
      <c r="M470" s="255"/>
      <c r="N470" s="256"/>
      <c r="O470" s="388"/>
      <c r="AA470" s="50"/>
      <c r="AD470" s="244"/>
      <c r="AE470" s="341" t="str">
        <f>IF(OR(AM470="",AM470=0,AJ470="",AG470=""),"",
(IF(AND(AF464=$P$4,AM470&lt;=$R$4),$V$4,0)+IF(AND(AF464=$P$5,AM470&lt;=$R$5),$V$5,0)+IF(AND(AF464=$P$6,AM470&lt;=$R$6),$V$6,0)+IF(AND(AF464=$P$7,AM470&lt;=$R$7),$V$7,0))
)</f>
        <v/>
      </c>
      <c r="AF470" s="153" t="s">
        <v>306</v>
      </c>
      <c r="AG470" s="598"/>
      <c r="AH470" s="599"/>
      <c r="AI470" s="600"/>
      <c r="AJ470" s="598"/>
      <c r="AK470" s="599"/>
      <c r="AL470" s="600"/>
      <c r="AM470" s="384"/>
      <c r="AN470" s="256"/>
      <c r="AO470" s="388"/>
    </row>
    <row r="471" spans="4:50" x14ac:dyDescent="0.3">
      <c r="D471" s="244"/>
      <c r="E471" s="341" t="str">
        <f>IF(OR(M471="",M471=0,J471="",G471=""),"",
(IF(AND(F464=$P$4,M471&lt;=$R$4),$V$4,0)+IF(AND(F464=$P$5,M471&lt;=$R$5),$V$5,0)+IF(AND(F464=$P$6,M471&lt;=$R$6),$V$6,0)+IF(AND(F464=$P$7,M471&lt;=$R$7),$V$7,0))
)</f>
        <v/>
      </c>
      <c r="F471" s="153" t="s">
        <v>307</v>
      </c>
      <c r="G471" s="616"/>
      <c r="H471" s="617"/>
      <c r="I471" s="618"/>
      <c r="J471" s="616"/>
      <c r="K471" s="617"/>
      <c r="L471" s="618"/>
      <c r="M471" s="255"/>
      <c r="N471" s="256"/>
      <c r="O471" s="388"/>
      <c r="AA471" s="50"/>
      <c r="AD471" s="244"/>
      <c r="AE471" s="341" t="str">
        <f>IF(OR(AM471="",AM471=0,AJ471="",AG471=""),"",
(IF(AND(AF464=$P$4,AM471&lt;=$R$4),$V$4,0)+IF(AND(AF464=$P$5,AM471&lt;=$R$5),$V$5,0)+IF(AND(AF464=$P$6,AM471&lt;=$R$6),$V$6,0)+IF(AND(AF464=$P$7,AM471&lt;=$R$7),$V$7,0))
)</f>
        <v/>
      </c>
      <c r="AF471" s="153" t="s">
        <v>307</v>
      </c>
      <c r="AG471" s="598"/>
      <c r="AH471" s="599"/>
      <c r="AI471" s="600"/>
      <c r="AJ471" s="598"/>
      <c r="AK471" s="599"/>
      <c r="AL471" s="600"/>
      <c r="AM471" s="384"/>
      <c r="AN471" s="256"/>
      <c r="AO471" s="388"/>
    </row>
    <row r="472" spans="4:50" x14ac:dyDescent="0.3">
      <c r="D472" s="244"/>
      <c r="E472" s="341" t="str">
        <f>IF(OR(M472="",M472=0,J472="",G472=""),"",
(IF(AND(F464=$P$4,M472&lt;=$R$4),$V$4,0)+IF(AND(F464=$P$5,M472&lt;=$R$5),$V$5,0)+IF(AND(F464=$P$6,M472&lt;=$R$6),$V$6,0)+IF(AND(F464=$P$7,M472&lt;=$R$7),$V$7,0))
)</f>
        <v/>
      </c>
      <c r="F472" s="153" t="s">
        <v>308</v>
      </c>
      <c r="G472" s="616"/>
      <c r="H472" s="617"/>
      <c r="I472" s="618"/>
      <c r="J472" s="616"/>
      <c r="K472" s="617"/>
      <c r="L472" s="618"/>
      <c r="M472" s="255"/>
      <c r="N472" s="256"/>
      <c r="O472" s="388"/>
      <c r="AA472" s="50"/>
      <c r="AD472" s="244"/>
      <c r="AE472" s="341" t="str">
        <f>IF(OR(AM472="",AM472=0,AJ472="",AG472=""),"",
(IF(AND(AF464=$P$4,AM472&lt;=$R$4),$V$4,0)+IF(AND(AF464=$P$5,AM472&lt;=$R$5),$V$5,0)+IF(AND(AF464=$P$6,AM472&lt;=$R$6),$V$6,0)+IF(AND(AF464=$P$7,AM472&lt;=$R$7),$V$7,0))
)</f>
        <v/>
      </c>
      <c r="AF472" s="153" t="s">
        <v>308</v>
      </c>
      <c r="AG472" s="598"/>
      <c r="AH472" s="599"/>
      <c r="AI472" s="600"/>
      <c r="AJ472" s="598"/>
      <c r="AK472" s="599"/>
      <c r="AL472" s="600"/>
      <c r="AM472" s="384"/>
      <c r="AN472" s="256"/>
      <c r="AO472" s="388"/>
    </row>
    <row r="473" spans="4:50" ht="15" customHeight="1" thickBot="1" x14ac:dyDescent="0.35">
      <c r="D473" s="203"/>
      <c r="E473" s="3"/>
      <c r="F473" s="3"/>
      <c r="G473" s="3"/>
      <c r="H473" s="3"/>
      <c r="I473" s="3"/>
      <c r="J473" s="3"/>
      <c r="K473" s="3"/>
      <c r="L473" s="3"/>
      <c r="M473" s="3"/>
      <c r="N473" s="204"/>
      <c r="P473" s="2"/>
      <c r="AA473" s="50"/>
      <c r="AD473" s="203"/>
      <c r="AE473" s="3"/>
      <c r="AF473" s="3"/>
      <c r="AG473" s="3"/>
      <c r="AH473" s="3"/>
      <c r="AI473" s="3"/>
      <c r="AJ473" s="3"/>
      <c r="AK473" s="3"/>
      <c r="AL473" s="3"/>
      <c r="AM473" s="3"/>
      <c r="AN473" s="204"/>
      <c r="AP473" s="2"/>
    </row>
    <row r="474" spans="4:50" ht="15" customHeight="1" x14ac:dyDescent="0.3">
      <c r="D474" s="601" t="str">
        <f>IF(
OR(
OR(F476=$P$4,F476=$P$5,F476=$P$6,F476=$P$7),AND(G478="",G479="",G480="",G481="",G482="",G483="",G484="",J478="",J479="",J480="",J481="",J482="",J483="",J484="",M478="",M479="",M480="",M481="",M482="",M483="",M484="",K475="",K476="")
),
"",
"A Set-Aside must be selected."
)</f>
        <v/>
      </c>
      <c r="E474" s="602"/>
      <c r="F474" s="602"/>
      <c r="G474" s="602"/>
      <c r="H474" s="602"/>
      <c r="I474" s="602"/>
      <c r="J474" s="602"/>
      <c r="K474" s="602"/>
      <c r="L474" s="602"/>
      <c r="M474" s="602"/>
      <c r="N474" s="603"/>
      <c r="O474" s="2"/>
      <c r="AA474" s="50"/>
      <c r="AD474" s="601" t="str">
        <f>IF(
OR(
OR(AF476=$P$4,AF476=$P$5,AF476=$P$6,AF476=$P$7),AND(AG478="",AG479="",AG480="",AG481="",AG482="",AG483="",AG484="",AJ478="",AJ479="",AJ480="",AJ481="",AJ482="",AJ483="",AJ484="",AM478="",AM479="",AM480="",AM481="",AM482="",AM483="",AM484="",AK475="",AK476="")
),
"",
"A Set-Aside must be selected."
)</f>
        <v/>
      </c>
      <c r="AE474" s="602"/>
      <c r="AF474" s="602"/>
      <c r="AG474" s="602"/>
      <c r="AH474" s="602"/>
      <c r="AI474" s="602"/>
      <c r="AJ474" s="602"/>
      <c r="AK474" s="602"/>
      <c r="AL474" s="602"/>
      <c r="AM474" s="602"/>
      <c r="AN474" s="603"/>
      <c r="AO474" s="2"/>
    </row>
    <row r="475" spans="4:50" ht="15" customHeight="1" x14ac:dyDescent="0.3">
      <c r="D475" s="199"/>
      <c r="E475" s="9" t="s">
        <v>30</v>
      </c>
      <c r="F475" s="86">
        <f>F463+1</f>
        <v>37</v>
      </c>
      <c r="G475" s="9" t="s">
        <v>175</v>
      </c>
      <c r="H475" s="9"/>
      <c r="I475" s="9"/>
      <c r="J475" s="168" t="s">
        <v>111</v>
      </c>
      <c r="K475" s="148"/>
      <c r="N475" s="200"/>
      <c r="R475" s="596" t="s">
        <v>302</v>
      </c>
      <c r="S475" s="596" t="s">
        <v>303</v>
      </c>
      <c r="T475" s="596" t="s">
        <v>304</v>
      </c>
      <c r="U475" s="596" t="s">
        <v>305</v>
      </c>
      <c r="V475" s="596" t="s">
        <v>306</v>
      </c>
      <c r="W475" s="596" t="s">
        <v>307</v>
      </c>
      <c r="X475" s="596" t="s">
        <v>308</v>
      </c>
      <c r="AA475" s="50"/>
      <c r="AD475" s="199"/>
      <c r="AE475" s="9" t="s">
        <v>30</v>
      </c>
      <c r="AF475" s="86">
        <f>AF463+1</f>
        <v>37</v>
      </c>
      <c r="AG475" s="9" t="s">
        <v>175</v>
      </c>
      <c r="AH475" s="9"/>
      <c r="AI475" s="9"/>
      <c r="AJ475" s="168" t="s">
        <v>111</v>
      </c>
      <c r="AK475" s="382"/>
      <c r="AN475" s="200"/>
      <c r="AR475" s="596" t="s">
        <v>302</v>
      </c>
      <c r="AS475" s="596" t="s">
        <v>303</v>
      </c>
      <c r="AT475" s="596" t="s">
        <v>304</v>
      </c>
      <c r="AU475" s="596" t="s">
        <v>305</v>
      </c>
      <c r="AV475" s="596" t="s">
        <v>306</v>
      </c>
      <c r="AW475" s="596" t="s">
        <v>307</v>
      </c>
      <c r="AX475" s="596" t="s">
        <v>308</v>
      </c>
    </row>
    <row r="476" spans="4:50" ht="15" customHeight="1" x14ac:dyDescent="0.3">
      <c r="D476" s="604" t="s">
        <v>31</v>
      </c>
      <c r="E476" s="594"/>
      <c r="F476" s="151"/>
      <c r="G476" s="86" t="str">
        <f>IF(F476=$P$4,$Q$4,IF(F476=$P$5,$Q$5,IF(F476=$P$6,$Q$6,IF(F476=$P$7,Q$7,IF(F476=$P$8,"","")))))</f>
        <v/>
      </c>
      <c r="H476" s="201"/>
      <c r="I476" s="201"/>
      <c r="J476" s="168" t="s">
        <v>112</v>
      </c>
      <c r="K476" s="148"/>
      <c r="N476" s="200"/>
      <c r="R476" s="596"/>
      <c r="S476" s="596"/>
      <c r="T476" s="596"/>
      <c r="U476" s="596"/>
      <c r="V476" s="596"/>
      <c r="W476" s="596"/>
      <c r="X476" s="596"/>
      <c r="AA476" s="50"/>
      <c r="AD476" s="604" t="s">
        <v>31</v>
      </c>
      <c r="AE476" s="594"/>
      <c r="AF476" s="383"/>
      <c r="AG476" s="86" t="str">
        <f>IF(AF476=$P$4,$Q$4,IF(AF476=$P$5,$Q$5,IF(AF476=$P$6,$Q$6,IF(AF476=$P$7,AQ$7,IF(AF476=$P$8,"","")))))</f>
        <v/>
      </c>
      <c r="AH476" s="201"/>
      <c r="AI476" s="201"/>
      <c r="AJ476" s="168" t="s">
        <v>112</v>
      </c>
      <c r="AK476" s="382"/>
      <c r="AN476" s="200"/>
      <c r="AR476" s="596"/>
      <c r="AS476" s="596"/>
      <c r="AT476" s="596"/>
      <c r="AU476" s="596"/>
      <c r="AV476" s="596"/>
      <c r="AW476" s="596"/>
      <c r="AX476" s="596"/>
    </row>
    <row r="477" spans="4:50" ht="15" customHeight="1" x14ac:dyDescent="0.3">
      <c r="D477" s="244"/>
      <c r="E477" s="230" t="s">
        <v>52</v>
      </c>
      <c r="F477" s="9" t="s">
        <v>32</v>
      </c>
      <c r="G477" s="9" t="s">
        <v>33</v>
      </c>
      <c r="H477" s="9"/>
      <c r="I477" s="9"/>
      <c r="J477" s="9" t="s">
        <v>34</v>
      </c>
      <c r="K477" s="9"/>
      <c r="L477" s="9"/>
      <c r="M477" s="257" t="s">
        <v>35</v>
      </c>
      <c r="N477" s="202"/>
      <c r="O477" s="9"/>
      <c r="P477" s="198" t="s">
        <v>22</v>
      </c>
      <c r="Q477" s="198"/>
      <c r="R477" s="596"/>
      <c r="S477" s="596"/>
      <c r="T477" s="596"/>
      <c r="U477" s="596"/>
      <c r="V477" s="596"/>
      <c r="W477" s="596"/>
      <c r="X477" s="596"/>
      <c r="AA477" s="50"/>
      <c r="AD477" s="244"/>
      <c r="AE477" s="230" t="s">
        <v>52</v>
      </c>
      <c r="AF477" s="9" t="s">
        <v>32</v>
      </c>
      <c r="AG477" s="9" t="s">
        <v>33</v>
      </c>
      <c r="AH477" s="9"/>
      <c r="AI477" s="9"/>
      <c r="AJ477" s="9" t="s">
        <v>34</v>
      </c>
      <c r="AK477" s="9"/>
      <c r="AL477" s="9"/>
      <c r="AM477" s="257" t="s">
        <v>35</v>
      </c>
      <c r="AN477" s="202"/>
      <c r="AO477" s="9"/>
      <c r="AP477" s="198" t="s">
        <v>22</v>
      </c>
      <c r="AQ477" s="198"/>
      <c r="AR477" s="596"/>
      <c r="AS477" s="596"/>
      <c r="AT477" s="596"/>
      <c r="AU477" s="596"/>
      <c r="AV477" s="596"/>
      <c r="AW477" s="596"/>
      <c r="AX477" s="596"/>
    </row>
    <row r="478" spans="4:50" x14ac:dyDescent="0.3">
      <c r="D478" s="244"/>
      <c r="E478" s="355" t="str">
        <f>IF(OR(M478="",M478=0,J478="",G478=""),"",
(IF(AND(F476=$P$4,M478&lt;=$R$4),$V$4,0)+IF(AND(F476=$P$5,M478&lt;=$R$5),$V$5,0)+IF(AND(F476=$P$6,M478&lt;=$R$6),$V$6,0)+IF(AND(F476=$P$7,M478&lt;=$R$7),$V$7,0))
)</f>
        <v/>
      </c>
      <c r="F478" s="153" t="s">
        <v>302</v>
      </c>
      <c r="G478" s="616"/>
      <c r="H478" s="617"/>
      <c r="I478" s="618"/>
      <c r="J478" s="616"/>
      <c r="K478" s="617"/>
      <c r="L478" s="618"/>
      <c r="M478" s="255"/>
      <c r="N478" s="256"/>
      <c r="O478" s="388"/>
      <c r="P478" s="185">
        <f t="shared" ref="P478" si="575">IF(F476="",0,1)</f>
        <v>0</v>
      </c>
      <c r="R478" s="185" t="str">
        <f t="shared" ref="R478" si="576">E478</f>
        <v/>
      </c>
      <c r="S478" s="185" t="str">
        <f t="shared" ref="S478" si="577">E479</f>
        <v/>
      </c>
      <c r="T478" s="185" t="str">
        <f t="shared" ref="T478" si="578">E480</f>
        <v/>
      </c>
      <c r="U478" s="185" t="str">
        <f t="shared" ref="U478" si="579">E481</f>
        <v/>
      </c>
      <c r="V478" s="185" t="str">
        <f t="shared" ref="V478" si="580">E482</f>
        <v/>
      </c>
      <c r="W478" s="185" t="str">
        <f t="shared" ref="W478" si="581">E483</f>
        <v/>
      </c>
      <c r="X478" s="185" t="str">
        <f t="shared" ref="X478" si="582">E484</f>
        <v/>
      </c>
      <c r="AA478" s="50"/>
      <c r="AD478" s="244"/>
      <c r="AE478" s="355" t="str">
        <f>IF(OR(AM478="",AM478=0,AJ478="",AG478=""),"",
(IF(AND(AF476=$P$4,AM478&lt;=$R$4),$V$4,0)+IF(AND(AF476=$P$5,AM478&lt;=$R$5),$V$5,0)+IF(AND(AF476=$P$6,AM478&lt;=$R$6),$V$6,0)+IF(AND(AF476=$P$7,AM478&lt;=$R$7),$V$7,0))
)</f>
        <v/>
      </c>
      <c r="AF478" s="153" t="s">
        <v>302</v>
      </c>
      <c r="AG478" s="598"/>
      <c r="AH478" s="599"/>
      <c r="AI478" s="600"/>
      <c r="AJ478" s="598"/>
      <c r="AK478" s="599"/>
      <c r="AL478" s="600"/>
      <c r="AM478" s="384"/>
      <c r="AN478" s="256"/>
      <c r="AO478" s="388"/>
      <c r="AP478" s="185">
        <f t="shared" ref="AP478" si="583">IF(AF476="",0,1)</f>
        <v>0</v>
      </c>
      <c r="AR478" s="185" t="str">
        <f t="shared" ref="AR478" si="584">AE478</f>
        <v/>
      </c>
      <c r="AS478" s="185" t="str">
        <f t="shared" ref="AS478" si="585">AE479</f>
        <v/>
      </c>
      <c r="AT478" s="185" t="str">
        <f t="shared" ref="AT478" si="586">AE480</f>
        <v/>
      </c>
      <c r="AU478" s="185" t="str">
        <f t="shared" ref="AU478" si="587">AE481</f>
        <v/>
      </c>
      <c r="AV478" s="185" t="str">
        <f t="shared" ref="AV478" si="588">AE482</f>
        <v/>
      </c>
      <c r="AW478" s="185" t="str">
        <f t="shared" ref="AW478" si="589">AE483</f>
        <v/>
      </c>
      <c r="AX478" s="185" t="str">
        <f t="shared" ref="AX478" si="590">AE484</f>
        <v/>
      </c>
    </row>
    <row r="479" spans="4:50" x14ac:dyDescent="0.3">
      <c r="D479" s="244"/>
      <c r="E479" s="341" t="str">
        <f>IF(OR(M479="",M479=0,J479="",G479=""),"",
(IF(AND(F476=$P$4,M479&lt;=$R$4),$V$4,0)+IF(AND(F476=$P$5,M479&lt;=$R$5),$V$5,0)+IF(AND(F476=$P$6,M479&lt;=$R$6),$V$6,0)+IF(AND(F476=$P$7,M479&lt;=$R$7),$V$7,0))
)</f>
        <v/>
      </c>
      <c r="F479" s="153" t="s">
        <v>303</v>
      </c>
      <c r="G479" s="616"/>
      <c r="H479" s="617"/>
      <c r="I479" s="618"/>
      <c r="J479" s="616"/>
      <c r="K479" s="617"/>
      <c r="L479" s="618"/>
      <c r="M479" s="255"/>
      <c r="N479" s="256"/>
      <c r="O479" s="388"/>
      <c r="AA479" s="50"/>
      <c r="AD479" s="244"/>
      <c r="AE479" s="341" t="str">
        <f>IF(OR(AM479="",AM479=0,AJ479="",AG479=""),"",
(IF(AND(AF476=$P$4,AM479&lt;=$R$4),$V$4,0)+IF(AND(AF476=$P$5,AM479&lt;=$R$5),$V$5,0)+IF(AND(AF476=$P$6,AM479&lt;=$R$6),$V$6,0)+IF(AND(AF476=$P$7,AM479&lt;=$R$7),$V$7,0))
)</f>
        <v/>
      </c>
      <c r="AF479" s="153" t="s">
        <v>303</v>
      </c>
      <c r="AG479" s="598"/>
      <c r="AH479" s="599"/>
      <c r="AI479" s="600"/>
      <c r="AJ479" s="598"/>
      <c r="AK479" s="599"/>
      <c r="AL479" s="600"/>
      <c r="AM479" s="384"/>
      <c r="AN479" s="256"/>
      <c r="AO479" s="388"/>
    </row>
    <row r="480" spans="4:50" x14ac:dyDescent="0.3">
      <c r="D480" s="244"/>
      <c r="E480" s="341" t="str">
        <f>IF(OR(M480="",M480=0,J480="",G480=""),"",
(IF(AND(F476=$P$4,M480&lt;=$R$4),$V$4,0)+IF(AND(F476=$P$5,M480&lt;=$R$5),$V$5,0)+IF(AND(F476=$P$6,M480&lt;=$R$6),$V$6,0)+IF(AND(F476=$P$7,M480&lt;=$R$7),$V$7,0))
)</f>
        <v/>
      </c>
      <c r="F480" s="153" t="s">
        <v>304</v>
      </c>
      <c r="G480" s="616"/>
      <c r="H480" s="617"/>
      <c r="I480" s="618"/>
      <c r="J480" s="616"/>
      <c r="K480" s="617"/>
      <c r="L480" s="618"/>
      <c r="M480" s="255"/>
      <c r="N480" s="256"/>
      <c r="O480" s="388"/>
      <c r="AA480" s="50"/>
      <c r="AD480" s="244"/>
      <c r="AE480" s="341" t="str">
        <f>IF(OR(AM480="",AM480=0,AJ480="",AG480=""),"",
(IF(AND(AF476=$P$4,AM480&lt;=$R$4),$V$4,0)+IF(AND(AF476=$P$5,AM480&lt;=$R$5),$V$5,0)+IF(AND(AF476=$P$6,AM480&lt;=$R$6),$V$6,0)+IF(AND(AF476=$P$7,AM480&lt;=$R$7),$V$7,0))
)</f>
        <v/>
      </c>
      <c r="AF480" s="153" t="s">
        <v>304</v>
      </c>
      <c r="AG480" s="598"/>
      <c r="AH480" s="599"/>
      <c r="AI480" s="600"/>
      <c r="AJ480" s="598"/>
      <c r="AK480" s="599"/>
      <c r="AL480" s="600"/>
      <c r="AM480" s="384"/>
      <c r="AN480" s="256"/>
      <c r="AO480" s="388"/>
    </row>
    <row r="481" spans="4:50" x14ac:dyDescent="0.3">
      <c r="D481" s="244"/>
      <c r="E481" s="341" t="str">
        <f>IF(OR(M481="",M481=0,J481="",G481=""),"",
(IF(AND(F476=$P$4,M481&lt;=$R$4),$V$4,0)+IF(AND(F476=$P$5,M481&lt;=$R$5),$V$5,0)+IF(AND(F476=$P$6,M481&lt;=$R$6),$V$6,0)+IF(AND(F476=$P$7,M481&lt;=$R$7),$V$7,0))
)</f>
        <v/>
      </c>
      <c r="F481" s="153" t="s">
        <v>305</v>
      </c>
      <c r="G481" s="616"/>
      <c r="H481" s="617"/>
      <c r="I481" s="618"/>
      <c r="J481" s="616"/>
      <c r="K481" s="617"/>
      <c r="L481" s="618"/>
      <c r="M481" s="255"/>
      <c r="N481" s="256"/>
      <c r="O481" s="388"/>
      <c r="AA481" s="50"/>
      <c r="AD481" s="244"/>
      <c r="AE481" s="341" t="str">
        <f>IF(OR(AM481="",AM481=0,AJ481="",AG481=""),"",
(IF(AND(AF476=$P$4,AM481&lt;=$R$4),$V$4,0)+IF(AND(AF476=$P$5,AM481&lt;=$R$5),$V$5,0)+IF(AND(AF476=$P$6,AM481&lt;=$R$6),$V$6,0)+IF(AND(AF476=$P$7,AM481&lt;=$R$7),$V$7,0))
)</f>
        <v/>
      </c>
      <c r="AF481" s="153" t="s">
        <v>305</v>
      </c>
      <c r="AG481" s="598"/>
      <c r="AH481" s="599"/>
      <c r="AI481" s="600"/>
      <c r="AJ481" s="598"/>
      <c r="AK481" s="599"/>
      <c r="AL481" s="600"/>
      <c r="AM481" s="384"/>
      <c r="AN481" s="256"/>
      <c r="AO481" s="388"/>
    </row>
    <row r="482" spans="4:50" x14ac:dyDescent="0.3">
      <c r="D482" s="244"/>
      <c r="E482" s="341" t="str">
        <f>IF(OR(M482="",M482=0,J482="",G482=""),"",
(IF(AND(F476=$P$4,M482&lt;=$R$4),$V$4,0)+IF(AND(F476=$P$5,M482&lt;=$R$5),$V$5,0)+IF(AND(F476=$P$6,M482&lt;=$R$6),$V$6,0)+IF(AND(F476=$P$7,M482&lt;=$R$7),$V$7,0))
)</f>
        <v/>
      </c>
      <c r="F482" s="153" t="s">
        <v>306</v>
      </c>
      <c r="G482" s="616"/>
      <c r="H482" s="617"/>
      <c r="I482" s="618"/>
      <c r="J482" s="616"/>
      <c r="K482" s="617"/>
      <c r="L482" s="618"/>
      <c r="M482" s="255"/>
      <c r="N482" s="256"/>
      <c r="O482" s="388"/>
      <c r="AA482" s="50"/>
      <c r="AD482" s="244"/>
      <c r="AE482" s="341" t="str">
        <f>IF(OR(AM482="",AM482=0,AJ482="",AG482=""),"",
(IF(AND(AF476=$P$4,AM482&lt;=$R$4),$V$4,0)+IF(AND(AF476=$P$5,AM482&lt;=$R$5),$V$5,0)+IF(AND(AF476=$P$6,AM482&lt;=$R$6),$V$6,0)+IF(AND(AF476=$P$7,AM482&lt;=$R$7),$V$7,0))
)</f>
        <v/>
      </c>
      <c r="AF482" s="153" t="s">
        <v>306</v>
      </c>
      <c r="AG482" s="598"/>
      <c r="AH482" s="599"/>
      <c r="AI482" s="600"/>
      <c r="AJ482" s="598"/>
      <c r="AK482" s="599"/>
      <c r="AL482" s="600"/>
      <c r="AM482" s="384"/>
      <c r="AN482" s="256"/>
      <c r="AO482" s="388"/>
    </row>
    <row r="483" spans="4:50" ht="15" customHeight="1" x14ac:dyDescent="0.3">
      <c r="D483" s="244"/>
      <c r="E483" s="341" t="str">
        <f>IF(OR(M483="",M483=0,J483="",G483=""),"",
(IF(AND(F476=$P$4,M483&lt;=$R$4),$V$4,0)+IF(AND(F476=$P$5,M483&lt;=$R$5),$V$5,0)+IF(AND(F476=$P$6,M483&lt;=$R$6),$V$6,0)+IF(AND(F476=$P$7,M483&lt;=$R$7),$V$7,0))
)</f>
        <v/>
      </c>
      <c r="F483" s="153" t="s">
        <v>307</v>
      </c>
      <c r="G483" s="616"/>
      <c r="H483" s="617"/>
      <c r="I483" s="618"/>
      <c r="J483" s="616"/>
      <c r="K483" s="617"/>
      <c r="L483" s="618"/>
      <c r="M483" s="255"/>
      <c r="N483" s="256"/>
      <c r="O483" s="388"/>
      <c r="AA483" s="50"/>
      <c r="AD483" s="244"/>
      <c r="AE483" s="341" t="str">
        <f>IF(OR(AM483="",AM483=0,AJ483="",AG483=""),"",
(IF(AND(AF476=$P$4,AM483&lt;=$R$4),$V$4,0)+IF(AND(AF476=$P$5,AM483&lt;=$R$5),$V$5,0)+IF(AND(AF476=$P$6,AM483&lt;=$R$6),$V$6,0)+IF(AND(AF476=$P$7,AM483&lt;=$R$7),$V$7,0))
)</f>
        <v/>
      </c>
      <c r="AF483" s="153" t="s">
        <v>307</v>
      </c>
      <c r="AG483" s="598"/>
      <c r="AH483" s="599"/>
      <c r="AI483" s="600"/>
      <c r="AJ483" s="598"/>
      <c r="AK483" s="599"/>
      <c r="AL483" s="600"/>
      <c r="AM483" s="384"/>
      <c r="AN483" s="256"/>
      <c r="AO483" s="388"/>
    </row>
    <row r="484" spans="4:50" ht="15" customHeight="1" x14ac:dyDescent="0.3">
      <c r="D484" s="244"/>
      <c r="E484" s="341" t="str">
        <f>IF(OR(M484="",M484=0,J484="",G484=""),"",
(IF(AND(F476=$P$4,M484&lt;=$R$4),$V$4,0)+IF(AND(F476=$P$5,M484&lt;=$R$5),$V$5,0)+IF(AND(F476=$P$6,M484&lt;=$R$6),$V$6,0)+IF(AND(F476=$P$7,M484&lt;=$R$7),$V$7,0))
)</f>
        <v/>
      </c>
      <c r="F484" s="153" t="s">
        <v>308</v>
      </c>
      <c r="G484" s="616"/>
      <c r="H484" s="617"/>
      <c r="I484" s="618"/>
      <c r="J484" s="616"/>
      <c r="K484" s="617"/>
      <c r="L484" s="618"/>
      <c r="M484" s="255"/>
      <c r="N484" s="256"/>
      <c r="O484" s="388"/>
      <c r="AA484" s="50"/>
      <c r="AD484" s="244"/>
      <c r="AE484" s="341" t="str">
        <f>IF(OR(AM484="",AM484=0,AJ484="",AG484=""),"",
(IF(AND(AF476=$P$4,AM484&lt;=$R$4),$V$4,0)+IF(AND(AF476=$P$5,AM484&lt;=$R$5),$V$5,0)+IF(AND(AF476=$P$6,AM484&lt;=$R$6),$V$6,0)+IF(AND(AF476=$P$7,AM484&lt;=$R$7),$V$7,0))
)</f>
        <v/>
      </c>
      <c r="AF484" s="153" t="s">
        <v>308</v>
      </c>
      <c r="AG484" s="598"/>
      <c r="AH484" s="599"/>
      <c r="AI484" s="600"/>
      <c r="AJ484" s="598"/>
      <c r="AK484" s="599"/>
      <c r="AL484" s="600"/>
      <c r="AM484" s="384"/>
      <c r="AN484" s="256"/>
      <c r="AO484" s="388"/>
    </row>
    <row r="485" spans="4:50" ht="15" customHeight="1" thickBot="1" x14ac:dyDescent="0.35">
      <c r="D485" s="203"/>
      <c r="E485" s="3"/>
      <c r="F485" s="3"/>
      <c r="G485" s="3"/>
      <c r="H485" s="3"/>
      <c r="I485" s="3"/>
      <c r="J485" s="3"/>
      <c r="K485" s="3"/>
      <c r="L485" s="3"/>
      <c r="M485" s="3"/>
      <c r="N485" s="204"/>
      <c r="P485" s="2"/>
      <c r="AA485" s="50"/>
      <c r="AD485" s="203"/>
      <c r="AE485" s="3"/>
      <c r="AF485" s="3"/>
      <c r="AG485" s="3"/>
      <c r="AH485" s="3"/>
      <c r="AI485" s="3"/>
      <c r="AJ485" s="3"/>
      <c r="AK485" s="3"/>
      <c r="AL485" s="3"/>
      <c r="AM485" s="3"/>
      <c r="AN485" s="204"/>
      <c r="AP485" s="2"/>
    </row>
    <row r="486" spans="4:50" ht="15" customHeight="1" x14ac:dyDescent="0.3">
      <c r="D486" s="601" t="str">
        <f>IF(
OR(
OR(F488=$P$4,F488=$P$5,F488=$P$6,F488=$P$7),AND(G490="",G491="",G492="",G493="",G494="",G495="",G496="",J490="",J491="",J492="",J493="",J494="",J495="",J496="",M490="",M491="",M492="",M493="",M494="",M495="",M496="",K487="",K488="")
),
"",
"A Set-Aside must be selected."
)</f>
        <v/>
      </c>
      <c r="E486" s="602"/>
      <c r="F486" s="602"/>
      <c r="G486" s="602"/>
      <c r="H486" s="602"/>
      <c r="I486" s="602"/>
      <c r="J486" s="602"/>
      <c r="K486" s="602"/>
      <c r="L486" s="602"/>
      <c r="M486" s="602"/>
      <c r="N486" s="603"/>
      <c r="O486" s="2"/>
      <c r="AA486" s="50"/>
      <c r="AD486" s="601" t="str">
        <f>IF(
OR(
OR(AF488=$P$4,AF488=$P$5,AF488=$P$6,AF488=$P$7),AND(AG490="",AG491="",AG492="",AG493="",AG494="",AG495="",AG496="",AJ490="",AJ491="",AJ492="",AJ493="",AJ494="",AJ495="",AJ496="",AM490="",AM491="",AM492="",AM493="",AM494="",AM495="",AM496="",AK487="",AK488="")
),
"",
"A Set-Aside must be selected."
)</f>
        <v/>
      </c>
      <c r="AE486" s="602"/>
      <c r="AF486" s="602"/>
      <c r="AG486" s="602"/>
      <c r="AH486" s="602"/>
      <c r="AI486" s="602"/>
      <c r="AJ486" s="602"/>
      <c r="AK486" s="602"/>
      <c r="AL486" s="602"/>
      <c r="AM486" s="602"/>
      <c r="AN486" s="603"/>
      <c r="AO486" s="2"/>
    </row>
    <row r="487" spans="4:50" ht="15" customHeight="1" x14ac:dyDescent="0.3">
      <c r="D487" s="199"/>
      <c r="E487" s="9" t="s">
        <v>30</v>
      </c>
      <c r="F487" s="86">
        <f>F475+1</f>
        <v>38</v>
      </c>
      <c r="G487" s="9" t="s">
        <v>175</v>
      </c>
      <c r="H487" s="9"/>
      <c r="I487" s="9"/>
      <c r="J487" s="168" t="s">
        <v>111</v>
      </c>
      <c r="K487" s="148"/>
      <c r="N487" s="200"/>
      <c r="R487" s="596" t="s">
        <v>302</v>
      </c>
      <c r="S487" s="596" t="s">
        <v>303</v>
      </c>
      <c r="T487" s="596" t="s">
        <v>304</v>
      </c>
      <c r="U487" s="596" t="s">
        <v>305</v>
      </c>
      <c r="V487" s="596" t="s">
        <v>306</v>
      </c>
      <c r="W487" s="596" t="s">
        <v>307</v>
      </c>
      <c r="X487" s="596" t="s">
        <v>308</v>
      </c>
      <c r="AA487" s="50"/>
      <c r="AD487" s="199"/>
      <c r="AE487" s="9" t="s">
        <v>30</v>
      </c>
      <c r="AF487" s="86">
        <f>AF475+1</f>
        <v>38</v>
      </c>
      <c r="AG487" s="9" t="s">
        <v>175</v>
      </c>
      <c r="AH487" s="9"/>
      <c r="AI487" s="9"/>
      <c r="AJ487" s="168" t="s">
        <v>111</v>
      </c>
      <c r="AK487" s="382"/>
      <c r="AN487" s="200"/>
      <c r="AR487" s="596" t="s">
        <v>302</v>
      </c>
      <c r="AS487" s="596" t="s">
        <v>303</v>
      </c>
      <c r="AT487" s="596" t="s">
        <v>304</v>
      </c>
      <c r="AU487" s="596" t="s">
        <v>305</v>
      </c>
      <c r="AV487" s="596" t="s">
        <v>306</v>
      </c>
      <c r="AW487" s="596" t="s">
        <v>307</v>
      </c>
      <c r="AX487" s="596" t="s">
        <v>308</v>
      </c>
    </row>
    <row r="488" spans="4:50" x14ac:dyDescent="0.3">
      <c r="D488" s="604" t="s">
        <v>31</v>
      </c>
      <c r="E488" s="594"/>
      <c r="F488" s="151"/>
      <c r="G488" s="86" t="str">
        <f>IF(F488=$P$4,$Q$4,IF(F488=$P$5,$Q$5,IF(F488=$P$6,$Q$6,IF(F488=$P$7,Q$7,IF(F488=$P$8,"","")))))</f>
        <v/>
      </c>
      <c r="H488" s="201"/>
      <c r="I488" s="201"/>
      <c r="J488" s="168" t="s">
        <v>112</v>
      </c>
      <c r="K488" s="148"/>
      <c r="N488" s="200"/>
      <c r="R488" s="596"/>
      <c r="S488" s="596"/>
      <c r="T488" s="596"/>
      <c r="U488" s="596"/>
      <c r="V488" s="596"/>
      <c r="W488" s="596"/>
      <c r="X488" s="596"/>
      <c r="AA488" s="50"/>
      <c r="AD488" s="604" t="s">
        <v>31</v>
      </c>
      <c r="AE488" s="594"/>
      <c r="AF488" s="383"/>
      <c r="AG488" s="86" t="str">
        <f>IF(AF488=$P$4,$Q$4,IF(AF488=$P$5,$Q$5,IF(AF488=$P$6,$Q$6,IF(AF488=$P$7,AQ$7,IF(AF488=$P$8,"","")))))</f>
        <v/>
      </c>
      <c r="AH488" s="201"/>
      <c r="AI488" s="201"/>
      <c r="AJ488" s="168" t="s">
        <v>112</v>
      </c>
      <c r="AK488" s="382"/>
      <c r="AN488" s="200"/>
      <c r="AR488" s="596"/>
      <c r="AS488" s="596"/>
      <c r="AT488" s="596"/>
      <c r="AU488" s="596"/>
      <c r="AV488" s="596"/>
      <c r="AW488" s="596"/>
      <c r="AX488" s="596"/>
    </row>
    <row r="489" spans="4:50" x14ac:dyDescent="0.3">
      <c r="D489" s="244"/>
      <c r="E489" s="230" t="s">
        <v>52</v>
      </c>
      <c r="F489" s="9" t="s">
        <v>32</v>
      </c>
      <c r="G489" s="9" t="s">
        <v>33</v>
      </c>
      <c r="H489" s="9"/>
      <c r="I489" s="9"/>
      <c r="J489" s="9" t="s">
        <v>34</v>
      </c>
      <c r="K489" s="9"/>
      <c r="L489" s="9"/>
      <c r="M489" s="257" t="s">
        <v>35</v>
      </c>
      <c r="N489" s="202"/>
      <c r="O489" s="9"/>
      <c r="P489" s="198" t="s">
        <v>22</v>
      </c>
      <c r="Q489" s="198"/>
      <c r="R489" s="596"/>
      <c r="S489" s="596"/>
      <c r="T489" s="596"/>
      <c r="U489" s="596"/>
      <c r="V489" s="596"/>
      <c r="W489" s="596"/>
      <c r="X489" s="596"/>
      <c r="AA489" s="50"/>
      <c r="AD489" s="244"/>
      <c r="AE489" s="230" t="s">
        <v>52</v>
      </c>
      <c r="AF489" s="9" t="s">
        <v>32</v>
      </c>
      <c r="AG489" s="9" t="s">
        <v>33</v>
      </c>
      <c r="AH489" s="9"/>
      <c r="AI489" s="9"/>
      <c r="AJ489" s="9" t="s">
        <v>34</v>
      </c>
      <c r="AK489" s="9"/>
      <c r="AL489" s="9"/>
      <c r="AM489" s="257" t="s">
        <v>35</v>
      </c>
      <c r="AN489" s="202"/>
      <c r="AO489" s="9"/>
      <c r="AP489" s="198" t="s">
        <v>22</v>
      </c>
      <c r="AQ489" s="198"/>
      <c r="AR489" s="596"/>
      <c r="AS489" s="596"/>
      <c r="AT489" s="596"/>
      <c r="AU489" s="596"/>
      <c r="AV489" s="596"/>
      <c r="AW489" s="596"/>
      <c r="AX489" s="596"/>
    </row>
    <row r="490" spans="4:50" x14ac:dyDescent="0.3">
      <c r="D490" s="244"/>
      <c r="E490" s="355" t="str">
        <f>IF(OR(M490="",M490=0,J490="",G490=""),"",
(IF(AND(F488=$P$4,M490&lt;=$R$4),$V$4,0)+IF(AND(F488=$P$5,M490&lt;=$R$5),$V$5,0)+IF(AND(F488=$P$6,M490&lt;=$R$6),$V$6,0)+IF(AND(F488=$P$7,M490&lt;=$R$7),$V$7,0))
)</f>
        <v/>
      </c>
      <c r="F490" s="153" t="s">
        <v>302</v>
      </c>
      <c r="G490" s="616"/>
      <c r="H490" s="617"/>
      <c r="I490" s="618"/>
      <c r="J490" s="616"/>
      <c r="K490" s="617"/>
      <c r="L490" s="618"/>
      <c r="M490" s="255"/>
      <c r="N490" s="256"/>
      <c r="O490" s="388"/>
      <c r="P490" s="185">
        <f t="shared" ref="P490" si="591">IF(F488="",0,1)</f>
        <v>0</v>
      </c>
      <c r="R490" s="185" t="str">
        <f t="shared" ref="R490" si="592">E490</f>
        <v/>
      </c>
      <c r="S490" s="185" t="str">
        <f t="shared" ref="S490" si="593">E491</f>
        <v/>
      </c>
      <c r="T490" s="185" t="str">
        <f t="shared" ref="T490" si="594">E492</f>
        <v/>
      </c>
      <c r="U490" s="185" t="str">
        <f t="shared" ref="U490" si="595">E493</f>
        <v/>
      </c>
      <c r="V490" s="185" t="str">
        <f t="shared" ref="V490" si="596">E494</f>
        <v/>
      </c>
      <c r="W490" s="185" t="str">
        <f t="shared" ref="W490" si="597">E495</f>
        <v/>
      </c>
      <c r="X490" s="185" t="str">
        <f t="shared" ref="X490" si="598">E496</f>
        <v/>
      </c>
      <c r="AA490" s="50"/>
      <c r="AD490" s="244"/>
      <c r="AE490" s="355" t="str">
        <f>IF(OR(AM490="",AM490=0,AJ490="",AG490=""),"",
(IF(AND(AF488=$P$4,AM490&lt;=$R$4),$V$4,0)+IF(AND(AF488=$P$5,AM490&lt;=$R$5),$V$5,0)+IF(AND(AF488=$P$6,AM490&lt;=$R$6),$V$6,0)+IF(AND(AF488=$P$7,AM490&lt;=$R$7),$V$7,0))
)</f>
        <v/>
      </c>
      <c r="AF490" s="153" t="s">
        <v>302</v>
      </c>
      <c r="AG490" s="598"/>
      <c r="AH490" s="599"/>
      <c r="AI490" s="600"/>
      <c r="AJ490" s="598"/>
      <c r="AK490" s="599"/>
      <c r="AL490" s="600"/>
      <c r="AM490" s="384"/>
      <c r="AN490" s="256"/>
      <c r="AO490" s="388"/>
      <c r="AP490" s="185">
        <f t="shared" ref="AP490" si="599">IF(AF488="",0,1)</f>
        <v>0</v>
      </c>
      <c r="AR490" s="185" t="str">
        <f t="shared" ref="AR490" si="600">AE490</f>
        <v/>
      </c>
      <c r="AS490" s="185" t="str">
        <f t="shared" ref="AS490" si="601">AE491</f>
        <v/>
      </c>
      <c r="AT490" s="185" t="str">
        <f t="shared" ref="AT490" si="602">AE492</f>
        <v/>
      </c>
      <c r="AU490" s="185" t="str">
        <f t="shared" ref="AU490" si="603">AE493</f>
        <v/>
      </c>
      <c r="AV490" s="185" t="str">
        <f t="shared" ref="AV490" si="604">AE494</f>
        <v/>
      </c>
      <c r="AW490" s="185" t="str">
        <f t="shared" ref="AW490" si="605">AE495</f>
        <v/>
      </c>
      <c r="AX490" s="185" t="str">
        <f t="shared" ref="AX490" si="606">AE496</f>
        <v/>
      </c>
    </row>
    <row r="491" spans="4:50" x14ac:dyDescent="0.3">
      <c r="D491" s="244"/>
      <c r="E491" s="341" t="str">
        <f>IF(OR(M491="",M491=0,J491="",G491=""),"",
(IF(AND(F488=$P$4,M491&lt;=$R$4),$V$4,0)+IF(AND(F488=$P$5,M491&lt;=$R$5),$V$5,0)+IF(AND(F488=$P$6,M491&lt;=$R$6),$V$6,0)+IF(AND(F488=$P$7,M491&lt;=$R$7),$V$7,0))
)</f>
        <v/>
      </c>
      <c r="F491" s="153" t="s">
        <v>303</v>
      </c>
      <c r="G491" s="616"/>
      <c r="H491" s="617"/>
      <c r="I491" s="618"/>
      <c r="J491" s="616"/>
      <c r="K491" s="617"/>
      <c r="L491" s="618"/>
      <c r="M491" s="255"/>
      <c r="N491" s="256"/>
      <c r="O491" s="388"/>
      <c r="AA491" s="50"/>
      <c r="AD491" s="244"/>
      <c r="AE491" s="341" t="str">
        <f>IF(OR(AM491="",AM491=0,AJ491="",AG491=""),"",
(IF(AND(AF488=$P$4,AM491&lt;=$R$4),$V$4,0)+IF(AND(AF488=$P$5,AM491&lt;=$R$5),$V$5,0)+IF(AND(AF488=$P$6,AM491&lt;=$R$6),$V$6,0)+IF(AND(AF488=$P$7,AM491&lt;=$R$7),$V$7,0))
)</f>
        <v/>
      </c>
      <c r="AF491" s="153" t="s">
        <v>303</v>
      </c>
      <c r="AG491" s="598"/>
      <c r="AH491" s="599"/>
      <c r="AI491" s="600"/>
      <c r="AJ491" s="598"/>
      <c r="AK491" s="599"/>
      <c r="AL491" s="600"/>
      <c r="AM491" s="384"/>
      <c r="AN491" s="256"/>
      <c r="AO491" s="388"/>
    </row>
    <row r="492" spans="4:50" x14ac:dyDescent="0.3">
      <c r="D492" s="244"/>
      <c r="E492" s="341" t="str">
        <f>IF(OR(M492="",M492=0,J492="",G492=""),"",
(IF(AND(F488=$P$4,M492&lt;=$R$4),$V$4,0)+IF(AND(F488=$P$5,M492&lt;=$R$5),$V$5,0)+IF(AND(F488=$P$6,M492&lt;=$R$6),$V$6,0)+IF(AND(F488=$P$7,M492&lt;=$R$7),$V$7,0))
)</f>
        <v/>
      </c>
      <c r="F492" s="153" t="s">
        <v>304</v>
      </c>
      <c r="G492" s="616"/>
      <c r="H492" s="617"/>
      <c r="I492" s="618"/>
      <c r="J492" s="616"/>
      <c r="K492" s="617"/>
      <c r="L492" s="618"/>
      <c r="M492" s="255"/>
      <c r="N492" s="256"/>
      <c r="O492" s="388"/>
      <c r="AA492" s="50"/>
      <c r="AD492" s="244"/>
      <c r="AE492" s="341" t="str">
        <f>IF(OR(AM492="",AM492=0,AJ492="",AG492=""),"",
(IF(AND(AF488=$P$4,AM492&lt;=$R$4),$V$4,0)+IF(AND(AF488=$P$5,AM492&lt;=$R$5),$V$5,0)+IF(AND(AF488=$P$6,AM492&lt;=$R$6),$V$6,0)+IF(AND(AF488=$P$7,AM492&lt;=$R$7),$V$7,0))
)</f>
        <v/>
      </c>
      <c r="AF492" s="153" t="s">
        <v>304</v>
      </c>
      <c r="AG492" s="598"/>
      <c r="AH492" s="599"/>
      <c r="AI492" s="600"/>
      <c r="AJ492" s="598"/>
      <c r="AK492" s="599"/>
      <c r="AL492" s="600"/>
      <c r="AM492" s="384"/>
      <c r="AN492" s="256"/>
      <c r="AO492" s="388"/>
    </row>
    <row r="493" spans="4:50" ht="15" customHeight="1" x14ac:dyDescent="0.3">
      <c r="D493" s="244"/>
      <c r="E493" s="341" t="str">
        <f>IF(OR(M493="",M493=0,J493="",G493=""),"",
(IF(AND(F488=$P$4,M493&lt;=$R$4),$V$4,0)+IF(AND(F488=$P$5,M493&lt;=$R$5),$V$5,0)+IF(AND(F488=$P$6,M493&lt;=$R$6),$V$6,0)+IF(AND(F488=$P$7,M493&lt;=$R$7),$V$7,0))
)</f>
        <v/>
      </c>
      <c r="F493" s="153" t="s">
        <v>305</v>
      </c>
      <c r="G493" s="616"/>
      <c r="H493" s="617"/>
      <c r="I493" s="618"/>
      <c r="J493" s="616"/>
      <c r="K493" s="617"/>
      <c r="L493" s="618"/>
      <c r="M493" s="255"/>
      <c r="N493" s="256"/>
      <c r="O493" s="388"/>
      <c r="AA493" s="50"/>
      <c r="AD493" s="244"/>
      <c r="AE493" s="341" t="str">
        <f>IF(OR(AM493="",AM493=0,AJ493="",AG493=""),"",
(IF(AND(AF488=$P$4,AM493&lt;=$R$4),$V$4,0)+IF(AND(AF488=$P$5,AM493&lt;=$R$5),$V$5,0)+IF(AND(AF488=$P$6,AM493&lt;=$R$6),$V$6,0)+IF(AND(AF488=$P$7,AM493&lt;=$R$7),$V$7,0))
)</f>
        <v/>
      </c>
      <c r="AF493" s="153" t="s">
        <v>305</v>
      </c>
      <c r="AG493" s="598"/>
      <c r="AH493" s="599"/>
      <c r="AI493" s="600"/>
      <c r="AJ493" s="598"/>
      <c r="AK493" s="599"/>
      <c r="AL493" s="600"/>
      <c r="AM493" s="384"/>
      <c r="AN493" s="256"/>
      <c r="AO493" s="388"/>
    </row>
    <row r="494" spans="4:50" ht="15" customHeight="1" x14ac:dyDescent="0.3">
      <c r="D494" s="244"/>
      <c r="E494" s="341" t="str">
        <f>IF(OR(M494="",M494=0,J494="",G494=""),"",
(IF(AND(F488=$P$4,M494&lt;=$R$4),$V$4,0)+IF(AND(F488=$P$5,M494&lt;=$R$5),$V$5,0)+IF(AND(F488=$P$6,M494&lt;=$R$6),$V$6,0)+IF(AND(F488=$P$7,M494&lt;=$R$7),$V$7,0))
)</f>
        <v/>
      </c>
      <c r="F494" s="153" t="s">
        <v>306</v>
      </c>
      <c r="G494" s="616"/>
      <c r="H494" s="617"/>
      <c r="I494" s="618"/>
      <c r="J494" s="616"/>
      <c r="K494" s="617"/>
      <c r="L494" s="618"/>
      <c r="M494" s="255"/>
      <c r="N494" s="256"/>
      <c r="O494" s="388"/>
      <c r="AA494" s="50"/>
      <c r="AD494" s="244"/>
      <c r="AE494" s="341" t="str">
        <f>IF(OR(AM494="",AM494=0,AJ494="",AG494=""),"",
(IF(AND(AF488=$P$4,AM494&lt;=$R$4),$V$4,0)+IF(AND(AF488=$P$5,AM494&lt;=$R$5),$V$5,0)+IF(AND(AF488=$P$6,AM494&lt;=$R$6),$V$6,0)+IF(AND(AF488=$P$7,AM494&lt;=$R$7),$V$7,0))
)</f>
        <v/>
      </c>
      <c r="AF494" s="153" t="s">
        <v>306</v>
      </c>
      <c r="AG494" s="598"/>
      <c r="AH494" s="599"/>
      <c r="AI494" s="600"/>
      <c r="AJ494" s="598"/>
      <c r="AK494" s="599"/>
      <c r="AL494" s="600"/>
      <c r="AM494" s="384"/>
      <c r="AN494" s="256"/>
      <c r="AO494" s="388"/>
    </row>
    <row r="495" spans="4:50" ht="15" customHeight="1" x14ac:dyDescent="0.3">
      <c r="D495" s="244"/>
      <c r="E495" s="341" t="str">
        <f>IF(OR(M495="",M495=0,J495="",G495=""),"",
(IF(AND(F488=$P$4,M495&lt;=$R$4),$V$4,0)+IF(AND(F488=$P$5,M495&lt;=$R$5),$V$5,0)+IF(AND(F488=$P$6,M495&lt;=$R$6),$V$6,0)+IF(AND(F488=$P$7,M495&lt;=$R$7),$V$7,0))
)</f>
        <v/>
      </c>
      <c r="F495" s="153" t="s">
        <v>307</v>
      </c>
      <c r="G495" s="616"/>
      <c r="H495" s="617"/>
      <c r="I495" s="618"/>
      <c r="J495" s="616"/>
      <c r="K495" s="617"/>
      <c r="L495" s="618"/>
      <c r="M495" s="255"/>
      <c r="N495" s="256"/>
      <c r="O495" s="388"/>
      <c r="AA495" s="50"/>
      <c r="AD495" s="244"/>
      <c r="AE495" s="341" t="str">
        <f>IF(OR(AM495="",AM495=0,AJ495="",AG495=""),"",
(IF(AND(AF488=$P$4,AM495&lt;=$R$4),$V$4,0)+IF(AND(AF488=$P$5,AM495&lt;=$R$5),$V$5,0)+IF(AND(AF488=$P$6,AM495&lt;=$R$6),$V$6,0)+IF(AND(AF488=$P$7,AM495&lt;=$R$7),$V$7,0))
)</f>
        <v/>
      </c>
      <c r="AF495" s="153" t="s">
        <v>307</v>
      </c>
      <c r="AG495" s="598"/>
      <c r="AH495" s="599"/>
      <c r="AI495" s="600"/>
      <c r="AJ495" s="598"/>
      <c r="AK495" s="599"/>
      <c r="AL495" s="600"/>
      <c r="AM495" s="384"/>
      <c r="AN495" s="256"/>
      <c r="AO495" s="388"/>
    </row>
    <row r="496" spans="4:50" ht="15" customHeight="1" x14ac:dyDescent="0.3">
      <c r="D496" s="244"/>
      <c r="E496" s="341" t="str">
        <f>IF(OR(M496="",M496=0,J496="",G496=""),"",
(IF(AND(F488=$P$4,M496&lt;=$R$4),$V$4,0)+IF(AND(F488=$P$5,M496&lt;=$R$5),$V$5,0)+IF(AND(F488=$P$6,M496&lt;=$R$6),$V$6,0)+IF(AND(F488=$P$7,M496&lt;=$R$7),$V$7,0))
)</f>
        <v/>
      </c>
      <c r="F496" s="153" t="s">
        <v>308</v>
      </c>
      <c r="G496" s="616"/>
      <c r="H496" s="617"/>
      <c r="I496" s="618"/>
      <c r="J496" s="616"/>
      <c r="K496" s="617"/>
      <c r="L496" s="618"/>
      <c r="M496" s="255"/>
      <c r="N496" s="256"/>
      <c r="O496" s="388"/>
      <c r="AA496" s="50"/>
      <c r="AD496" s="244"/>
      <c r="AE496" s="341" t="str">
        <f>IF(OR(AM496="",AM496=0,AJ496="",AG496=""),"",
(IF(AND(AF488=$P$4,AM496&lt;=$R$4),$V$4,0)+IF(AND(AF488=$P$5,AM496&lt;=$R$5),$V$5,0)+IF(AND(AF488=$P$6,AM496&lt;=$R$6),$V$6,0)+IF(AND(AF488=$P$7,AM496&lt;=$R$7),$V$7,0))
)</f>
        <v/>
      </c>
      <c r="AF496" s="153" t="s">
        <v>308</v>
      </c>
      <c r="AG496" s="598"/>
      <c r="AH496" s="599"/>
      <c r="AI496" s="600"/>
      <c r="AJ496" s="598"/>
      <c r="AK496" s="599"/>
      <c r="AL496" s="600"/>
      <c r="AM496" s="384"/>
      <c r="AN496" s="256"/>
      <c r="AO496" s="388"/>
    </row>
    <row r="497" spans="4:50" ht="15" customHeight="1" thickBot="1" x14ac:dyDescent="0.35">
      <c r="D497" s="203"/>
      <c r="E497" s="3"/>
      <c r="F497" s="3"/>
      <c r="G497" s="3"/>
      <c r="H497" s="3"/>
      <c r="I497" s="3"/>
      <c r="J497" s="3"/>
      <c r="K497" s="3"/>
      <c r="L497" s="3"/>
      <c r="M497" s="3"/>
      <c r="N497" s="204"/>
      <c r="P497" s="2"/>
      <c r="AA497" s="50"/>
      <c r="AD497" s="203"/>
      <c r="AE497" s="3"/>
      <c r="AF497" s="3"/>
      <c r="AG497" s="3"/>
      <c r="AH497" s="3"/>
      <c r="AI497" s="3"/>
      <c r="AJ497" s="3"/>
      <c r="AK497" s="3"/>
      <c r="AL497" s="3"/>
      <c r="AM497" s="3"/>
      <c r="AN497" s="204"/>
      <c r="AP497" s="2"/>
    </row>
    <row r="498" spans="4:50" x14ac:dyDescent="0.3">
      <c r="D498" s="601" t="str">
        <f>IF(
OR(
OR(F500=$P$4,F500=$P$5,F500=$P$6,F500=$P$7),AND(G502="",G503="",G504="",G505="",G506="",G507="",G508="",J502="",J503="",J504="",J505="",J506="",J507="",J508="",M502="",M503="",M504="",M505="",M506="",M507="",M508="",K499="",K500="")
),
"",
"A Set-Aside must be selected."
)</f>
        <v/>
      </c>
      <c r="E498" s="602"/>
      <c r="F498" s="602"/>
      <c r="G498" s="602"/>
      <c r="H498" s="602"/>
      <c r="I498" s="602"/>
      <c r="J498" s="602"/>
      <c r="K498" s="602"/>
      <c r="L498" s="602"/>
      <c r="M498" s="602"/>
      <c r="N498" s="603"/>
      <c r="O498" s="2"/>
      <c r="AA498" s="50"/>
      <c r="AD498" s="601" t="str">
        <f>IF(
OR(
OR(AF500=$P$4,AF500=$P$5,AF500=$P$6,AF500=$P$7),AND(AG502="",AG503="",AG504="",AG505="",AG506="",AG507="",AG508="",AJ502="",AJ503="",AJ504="",AJ505="",AJ506="",AJ507="",AJ508="",AM502="",AM503="",AM504="",AM505="",AM506="",AM507="",AM508="",AK499="",AK500="")
),
"",
"A Set-Aside must be selected."
)</f>
        <v/>
      </c>
      <c r="AE498" s="602"/>
      <c r="AF498" s="602"/>
      <c r="AG498" s="602"/>
      <c r="AH498" s="602"/>
      <c r="AI498" s="602"/>
      <c r="AJ498" s="602"/>
      <c r="AK498" s="602"/>
      <c r="AL498" s="602"/>
      <c r="AM498" s="602"/>
      <c r="AN498" s="603"/>
      <c r="AO498" s="2"/>
    </row>
    <row r="499" spans="4:50" ht="15.75" customHeight="1" x14ac:dyDescent="0.3">
      <c r="D499" s="199"/>
      <c r="E499" s="9" t="s">
        <v>30</v>
      </c>
      <c r="F499" s="86">
        <f>F487+1</f>
        <v>39</v>
      </c>
      <c r="G499" s="9" t="s">
        <v>175</v>
      </c>
      <c r="H499" s="9"/>
      <c r="I499" s="9"/>
      <c r="J499" s="168" t="s">
        <v>111</v>
      </c>
      <c r="K499" s="148"/>
      <c r="N499" s="200"/>
      <c r="R499" s="596" t="s">
        <v>302</v>
      </c>
      <c r="S499" s="596" t="s">
        <v>303</v>
      </c>
      <c r="T499" s="596" t="s">
        <v>304</v>
      </c>
      <c r="U499" s="596" t="s">
        <v>305</v>
      </c>
      <c r="V499" s="596" t="s">
        <v>306</v>
      </c>
      <c r="W499" s="596" t="s">
        <v>307</v>
      </c>
      <c r="X499" s="596" t="s">
        <v>308</v>
      </c>
      <c r="AA499" s="50"/>
      <c r="AD499" s="199"/>
      <c r="AE499" s="9" t="s">
        <v>30</v>
      </c>
      <c r="AF499" s="86">
        <f>AF487+1</f>
        <v>39</v>
      </c>
      <c r="AG499" s="9" t="s">
        <v>175</v>
      </c>
      <c r="AH499" s="9"/>
      <c r="AI499" s="9"/>
      <c r="AJ499" s="168" t="s">
        <v>111</v>
      </c>
      <c r="AK499" s="382"/>
      <c r="AN499" s="200"/>
      <c r="AR499" s="596" t="s">
        <v>302</v>
      </c>
      <c r="AS499" s="596" t="s">
        <v>303</v>
      </c>
      <c r="AT499" s="596" t="s">
        <v>304</v>
      </c>
      <c r="AU499" s="596" t="s">
        <v>305</v>
      </c>
      <c r="AV499" s="596" t="s">
        <v>306</v>
      </c>
      <c r="AW499" s="596" t="s">
        <v>307</v>
      </c>
      <c r="AX499" s="596" t="s">
        <v>308</v>
      </c>
    </row>
    <row r="500" spans="4:50" x14ac:dyDescent="0.3">
      <c r="D500" s="604" t="s">
        <v>31</v>
      </c>
      <c r="E500" s="594"/>
      <c r="F500" s="151"/>
      <c r="G500" s="86" t="str">
        <f>IF(F500=$P$4,$Q$4,IF(F500=$P$5,$Q$5,IF(F500=$P$6,$Q$6,IF(F500=$P$7,Q$7,IF(F500=$P$8,"","")))))</f>
        <v/>
      </c>
      <c r="H500" s="201"/>
      <c r="I500" s="201"/>
      <c r="J500" s="168" t="s">
        <v>112</v>
      </c>
      <c r="K500" s="148"/>
      <c r="N500" s="200"/>
      <c r="R500" s="596"/>
      <c r="S500" s="596"/>
      <c r="T500" s="596"/>
      <c r="U500" s="596"/>
      <c r="V500" s="596"/>
      <c r="W500" s="596"/>
      <c r="X500" s="596"/>
      <c r="AA500" s="50"/>
      <c r="AD500" s="604" t="s">
        <v>31</v>
      </c>
      <c r="AE500" s="594"/>
      <c r="AF500" s="383"/>
      <c r="AG500" s="86" t="str">
        <f>IF(AF500=$P$4,$Q$4,IF(AF500=$P$5,$Q$5,IF(AF500=$P$6,$Q$6,IF(AF500=$P$7,AQ$7,IF(AF500=$P$8,"","")))))</f>
        <v/>
      </c>
      <c r="AH500" s="201"/>
      <c r="AI500" s="201"/>
      <c r="AJ500" s="168" t="s">
        <v>112</v>
      </c>
      <c r="AK500" s="382"/>
      <c r="AN500" s="200"/>
      <c r="AR500" s="596"/>
      <c r="AS500" s="596"/>
      <c r="AT500" s="596"/>
      <c r="AU500" s="596"/>
      <c r="AV500" s="596"/>
      <c r="AW500" s="596"/>
      <c r="AX500" s="596"/>
    </row>
    <row r="501" spans="4:50" x14ac:dyDescent="0.3">
      <c r="D501" s="244"/>
      <c r="E501" s="230" t="s">
        <v>52</v>
      </c>
      <c r="F501" s="9" t="s">
        <v>32</v>
      </c>
      <c r="G501" s="9" t="s">
        <v>33</v>
      </c>
      <c r="H501" s="9"/>
      <c r="I501" s="9"/>
      <c r="J501" s="9" t="s">
        <v>34</v>
      </c>
      <c r="K501" s="9"/>
      <c r="L501" s="9"/>
      <c r="M501" s="257" t="s">
        <v>35</v>
      </c>
      <c r="N501" s="202"/>
      <c r="O501" s="9"/>
      <c r="P501" s="198" t="s">
        <v>22</v>
      </c>
      <c r="Q501" s="198"/>
      <c r="R501" s="596"/>
      <c r="S501" s="596"/>
      <c r="T501" s="596"/>
      <c r="U501" s="596"/>
      <c r="V501" s="596"/>
      <c r="W501" s="596"/>
      <c r="X501" s="596"/>
      <c r="AA501" s="50"/>
      <c r="AD501" s="244"/>
      <c r="AE501" s="230" t="s">
        <v>52</v>
      </c>
      <c r="AF501" s="9" t="s">
        <v>32</v>
      </c>
      <c r="AG501" s="9" t="s">
        <v>33</v>
      </c>
      <c r="AH501" s="9"/>
      <c r="AI501" s="9"/>
      <c r="AJ501" s="9" t="s">
        <v>34</v>
      </c>
      <c r="AK501" s="9"/>
      <c r="AL501" s="9"/>
      <c r="AM501" s="257" t="s">
        <v>35</v>
      </c>
      <c r="AN501" s="202"/>
      <c r="AO501" s="9"/>
      <c r="AP501" s="198" t="s">
        <v>22</v>
      </c>
      <c r="AQ501" s="198"/>
      <c r="AR501" s="596"/>
      <c r="AS501" s="596"/>
      <c r="AT501" s="596"/>
      <c r="AU501" s="596"/>
      <c r="AV501" s="596"/>
      <c r="AW501" s="596"/>
      <c r="AX501" s="596"/>
    </row>
    <row r="502" spans="4:50" x14ac:dyDescent="0.3">
      <c r="D502" s="244"/>
      <c r="E502" s="355" t="str">
        <f>IF(OR(M502="",M502=0,J502="",G502=""),"",
(IF(AND(F500=$P$4,M502&lt;=$R$4),$V$4,0)+IF(AND(F500=$P$5,M502&lt;=$R$5),$V$5,0)+IF(AND(F500=$P$6,M502&lt;=$R$6),$V$6,0)+IF(AND(F500=$P$7,M502&lt;=$R$7),$V$7,0))
)</f>
        <v/>
      </c>
      <c r="F502" s="153" t="s">
        <v>302</v>
      </c>
      <c r="G502" s="616"/>
      <c r="H502" s="617"/>
      <c r="I502" s="618"/>
      <c r="J502" s="616"/>
      <c r="K502" s="617"/>
      <c r="L502" s="618"/>
      <c r="M502" s="255"/>
      <c r="N502" s="256"/>
      <c r="O502" s="388"/>
      <c r="P502" s="185">
        <f t="shared" ref="P502" si="607">IF(F500="",0,1)</f>
        <v>0</v>
      </c>
      <c r="R502" s="185" t="str">
        <f t="shared" ref="R502" si="608">E502</f>
        <v/>
      </c>
      <c r="S502" s="185" t="str">
        <f t="shared" ref="S502" si="609">E503</f>
        <v/>
      </c>
      <c r="T502" s="185" t="str">
        <f t="shared" ref="T502" si="610">E504</f>
        <v/>
      </c>
      <c r="U502" s="185" t="str">
        <f t="shared" ref="U502" si="611">E505</f>
        <v/>
      </c>
      <c r="V502" s="185" t="str">
        <f t="shared" ref="V502" si="612">E506</f>
        <v/>
      </c>
      <c r="W502" s="185" t="str">
        <f t="shared" ref="W502" si="613">E507</f>
        <v/>
      </c>
      <c r="X502" s="185" t="str">
        <f t="shared" ref="X502" si="614">E508</f>
        <v/>
      </c>
      <c r="AA502" s="50"/>
      <c r="AD502" s="244"/>
      <c r="AE502" s="355" t="str">
        <f>IF(OR(AM502="",AM502=0,AJ502="",AG502=""),"",
(IF(AND(AF500=$P$4,AM502&lt;=$R$4),$V$4,0)+IF(AND(AF500=$P$5,AM502&lt;=$R$5),$V$5,0)+IF(AND(AF500=$P$6,AM502&lt;=$R$6),$V$6,0)+IF(AND(AF500=$P$7,AM502&lt;=$R$7),$V$7,0))
)</f>
        <v/>
      </c>
      <c r="AF502" s="153" t="s">
        <v>302</v>
      </c>
      <c r="AG502" s="598"/>
      <c r="AH502" s="599"/>
      <c r="AI502" s="600"/>
      <c r="AJ502" s="598"/>
      <c r="AK502" s="599"/>
      <c r="AL502" s="600"/>
      <c r="AM502" s="384"/>
      <c r="AN502" s="256"/>
      <c r="AO502" s="388"/>
      <c r="AP502" s="185">
        <f t="shared" ref="AP502" si="615">IF(AF500="",0,1)</f>
        <v>0</v>
      </c>
      <c r="AR502" s="185" t="str">
        <f t="shared" ref="AR502" si="616">AE502</f>
        <v/>
      </c>
      <c r="AS502" s="185" t="str">
        <f t="shared" ref="AS502" si="617">AE503</f>
        <v/>
      </c>
      <c r="AT502" s="185" t="str">
        <f t="shared" ref="AT502" si="618">AE504</f>
        <v/>
      </c>
      <c r="AU502" s="185" t="str">
        <f t="shared" ref="AU502" si="619">AE505</f>
        <v/>
      </c>
      <c r="AV502" s="185" t="str">
        <f t="shared" ref="AV502" si="620">AE506</f>
        <v/>
      </c>
      <c r="AW502" s="185" t="str">
        <f t="shared" ref="AW502" si="621">AE507</f>
        <v/>
      </c>
      <c r="AX502" s="185" t="str">
        <f t="shared" ref="AX502" si="622">AE508</f>
        <v/>
      </c>
    </row>
    <row r="503" spans="4:50" ht="15" customHeight="1" x14ac:dyDescent="0.3">
      <c r="D503" s="244"/>
      <c r="E503" s="341" t="str">
        <f>IF(OR(M503="",M503=0,J503="",G503=""),"",
(IF(AND(F500=$P$4,M503&lt;=$R$4),$V$4,0)+IF(AND(F500=$P$5,M503&lt;=$R$5),$V$5,0)+IF(AND(F500=$P$6,M503&lt;=$R$6),$V$6,0)+IF(AND(F500=$P$7,M503&lt;=$R$7),$V$7,0))
)</f>
        <v/>
      </c>
      <c r="F503" s="153" t="s">
        <v>303</v>
      </c>
      <c r="G503" s="616"/>
      <c r="H503" s="617"/>
      <c r="I503" s="618"/>
      <c r="J503" s="616"/>
      <c r="K503" s="617"/>
      <c r="L503" s="618"/>
      <c r="M503" s="255"/>
      <c r="N503" s="256"/>
      <c r="O503" s="388"/>
      <c r="AA503" s="50"/>
      <c r="AD503" s="244"/>
      <c r="AE503" s="341" t="str">
        <f>IF(OR(AM503="",AM503=0,AJ503="",AG503=""),"",
(IF(AND(AF500=$P$4,AM503&lt;=$R$4),$V$4,0)+IF(AND(AF500=$P$5,AM503&lt;=$R$5),$V$5,0)+IF(AND(AF500=$P$6,AM503&lt;=$R$6),$V$6,0)+IF(AND(AF500=$P$7,AM503&lt;=$R$7),$V$7,0))
)</f>
        <v/>
      </c>
      <c r="AF503" s="153" t="s">
        <v>303</v>
      </c>
      <c r="AG503" s="598"/>
      <c r="AH503" s="599"/>
      <c r="AI503" s="600"/>
      <c r="AJ503" s="598"/>
      <c r="AK503" s="599"/>
      <c r="AL503" s="600"/>
      <c r="AM503" s="384"/>
      <c r="AN503" s="256"/>
      <c r="AO503" s="388"/>
    </row>
    <row r="504" spans="4:50" ht="15" customHeight="1" x14ac:dyDescent="0.3">
      <c r="D504" s="244"/>
      <c r="E504" s="341" t="str">
        <f>IF(OR(M504="",M504=0,J504="",G504=""),"",
(IF(AND(F500=$P$4,M504&lt;=$R$4),$V$4,0)+IF(AND(F500=$P$5,M504&lt;=$R$5),$V$5,0)+IF(AND(F500=$P$6,M504&lt;=$R$6),$V$6,0)+IF(AND(F500=$P$7,M504&lt;=$R$7),$V$7,0))
)</f>
        <v/>
      </c>
      <c r="F504" s="153" t="s">
        <v>304</v>
      </c>
      <c r="G504" s="616"/>
      <c r="H504" s="617"/>
      <c r="I504" s="618"/>
      <c r="J504" s="616"/>
      <c r="K504" s="617"/>
      <c r="L504" s="618"/>
      <c r="M504" s="255"/>
      <c r="N504" s="256"/>
      <c r="O504" s="388"/>
      <c r="AA504" s="50"/>
      <c r="AD504" s="244"/>
      <c r="AE504" s="341" t="str">
        <f>IF(OR(AM504="",AM504=0,AJ504="",AG504=""),"",
(IF(AND(AF500=$P$4,AM504&lt;=$R$4),$V$4,0)+IF(AND(AF500=$P$5,AM504&lt;=$R$5),$V$5,0)+IF(AND(AF500=$P$6,AM504&lt;=$R$6),$V$6,0)+IF(AND(AF500=$P$7,AM504&lt;=$R$7),$V$7,0))
)</f>
        <v/>
      </c>
      <c r="AF504" s="153" t="s">
        <v>304</v>
      </c>
      <c r="AG504" s="598"/>
      <c r="AH504" s="599"/>
      <c r="AI504" s="600"/>
      <c r="AJ504" s="598"/>
      <c r="AK504" s="599"/>
      <c r="AL504" s="600"/>
      <c r="AM504" s="384"/>
      <c r="AN504" s="256"/>
      <c r="AO504" s="388"/>
    </row>
    <row r="505" spans="4:50" ht="15" customHeight="1" x14ac:dyDescent="0.3">
      <c r="D505" s="244"/>
      <c r="E505" s="341" t="str">
        <f>IF(OR(M505="",M505=0,J505="",G505=""),"",
(IF(AND(F500=$P$4,M505&lt;=$R$4),$V$4,0)+IF(AND(F500=$P$5,M505&lt;=$R$5),$V$5,0)+IF(AND(F500=$P$6,M505&lt;=$R$6),$V$6,0)+IF(AND(F500=$P$7,M505&lt;=$R$7),$V$7,0))
)</f>
        <v/>
      </c>
      <c r="F505" s="153" t="s">
        <v>305</v>
      </c>
      <c r="G505" s="616"/>
      <c r="H505" s="617"/>
      <c r="I505" s="618"/>
      <c r="J505" s="616"/>
      <c r="K505" s="617"/>
      <c r="L505" s="618"/>
      <c r="M505" s="255"/>
      <c r="N505" s="256"/>
      <c r="O505" s="388"/>
      <c r="AA505" s="50"/>
      <c r="AD505" s="244"/>
      <c r="AE505" s="341" t="str">
        <f>IF(OR(AM505="",AM505=0,AJ505="",AG505=""),"",
(IF(AND(AF500=$P$4,AM505&lt;=$R$4),$V$4,0)+IF(AND(AF500=$P$5,AM505&lt;=$R$5),$V$5,0)+IF(AND(AF500=$P$6,AM505&lt;=$R$6),$V$6,0)+IF(AND(AF500=$P$7,AM505&lt;=$R$7),$V$7,0))
)</f>
        <v/>
      </c>
      <c r="AF505" s="153" t="s">
        <v>305</v>
      </c>
      <c r="AG505" s="598"/>
      <c r="AH505" s="599"/>
      <c r="AI505" s="600"/>
      <c r="AJ505" s="598"/>
      <c r="AK505" s="599"/>
      <c r="AL505" s="600"/>
      <c r="AM505" s="384"/>
      <c r="AN505" s="256"/>
      <c r="AO505" s="388"/>
    </row>
    <row r="506" spans="4:50" ht="15" customHeight="1" x14ac:dyDescent="0.3">
      <c r="D506" s="244"/>
      <c r="E506" s="341" t="str">
        <f>IF(OR(M506="",M506=0,J506="",G506=""),"",
(IF(AND(F500=$P$4,M506&lt;=$R$4),$V$4,0)+IF(AND(F500=$P$5,M506&lt;=$R$5),$V$5,0)+IF(AND(F500=$P$6,M506&lt;=$R$6),$V$6,0)+IF(AND(F500=$P$7,M506&lt;=$R$7),$V$7,0))
)</f>
        <v/>
      </c>
      <c r="F506" s="153" t="s">
        <v>306</v>
      </c>
      <c r="G506" s="616"/>
      <c r="H506" s="617"/>
      <c r="I506" s="618"/>
      <c r="J506" s="616"/>
      <c r="K506" s="617"/>
      <c r="L506" s="618"/>
      <c r="M506" s="255"/>
      <c r="N506" s="256"/>
      <c r="O506" s="388"/>
      <c r="AA506" s="50"/>
      <c r="AD506" s="244"/>
      <c r="AE506" s="341" t="str">
        <f>IF(OR(AM506="",AM506=0,AJ506="",AG506=""),"",
(IF(AND(AF500=$P$4,AM506&lt;=$R$4),$V$4,0)+IF(AND(AF500=$P$5,AM506&lt;=$R$5),$V$5,0)+IF(AND(AF500=$P$6,AM506&lt;=$R$6),$V$6,0)+IF(AND(AF500=$P$7,AM506&lt;=$R$7),$V$7,0))
)</f>
        <v/>
      </c>
      <c r="AF506" s="153" t="s">
        <v>306</v>
      </c>
      <c r="AG506" s="598"/>
      <c r="AH506" s="599"/>
      <c r="AI506" s="600"/>
      <c r="AJ506" s="598"/>
      <c r="AK506" s="599"/>
      <c r="AL506" s="600"/>
      <c r="AM506" s="384"/>
      <c r="AN506" s="256"/>
      <c r="AO506" s="388"/>
    </row>
    <row r="507" spans="4:50" ht="15" customHeight="1" x14ac:dyDescent="0.3">
      <c r="D507" s="244"/>
      <c r="E507" s="341" t="str">
        <f>IF(OR(M507="",M507=0,J507="",G507=""),"",
(IF(AND(F500=$P$4,M507&lt;=$R$4),$V$4,0)+IF(AND(F500=$P$5,M507&lt;=$R$5),$V$5,0)+IF(AND(F500=$P$6,M507&lt;=$R$6),$V$6,0)+IF(AND(F500=$P$7,M507&lt;=$R$7),$V$7,0))
)</f>
        <v/>
      </c>
      <c r="F507" s="153" t="s">
        <v>307</v>
      </c>
      <c r="G507" s="616"/>
      <c r="H507" s="617"/>
      <c r="I507" s="618"/>
      <c r="J507" s="616"/>
      <c r="K507" s="617"/>
      <c r="L507" s="618"/>
      <c r="M507" s="255"/>
      <c r="N507" s="256"/>
      <c r="O507" s="388"/>
      <c r="AA507" s="50"/>
      <c r="AD507" s="244"/>
      <c r="AE507" s="341" t="str">
        <f>IF(OR(AM507="",AM507=0,AJ507="",AG507=""),"",
(IF(AND(AF500=$P$4,AM507&lt;=$R$4),$V$4,0)+IF(AND(AF500=$P$5,AM507&lt;=$R$5),$V$5,0)+IF(AND(AF500=$P$6,AM507&lt;=$R$6),$V$6,0)+IF(AND(AF500=$P$7,AM507&lt;=$R$7),$V$7,0))
)</f>
        <v/>
      </c>
      <c r="AF507" s="153" t="s">
        <v>307</v>
      </c>
      <c r="AG507" s="598"/>
      <c r="AH507" s="599"/>
      <c r="AI507" s="600"/>
      <c r="AJ507" s="598"/>
      <c r="AK507" s="599"/>
      <c r="AL507" s="600"/>
      <c r="AM507" s="384"/>
      <c r="AN507" s="256"/>
      <c r="AO507" s="388"/>
    </row>
    <row r="508" spans="4:50" x14ac:dyDescent="0.3">
      <c r="D508" s="244"/>
      <c r="E508" s="341" t="str">
        <f>IF(OR(M508="",M508=0,J508="",G508=""),"",
(IF(AND(F500=$P$4,M508&lt;=$R$4),$V$4,0)+IF(AND(F500=$P$5,M508&lt;=$R$5),$V$5,0)+IF(AND(F500=$P$6,M508&lt;=$R$6),$V$6,0)+IF(AND(F500=$P$7,M508&lt;=$R$7),$V$7,0))
)</f>
        <v/>
      </c>
      <c r="F508" s="153" t="s">
        <v>308</v>
      </c>
      <c r="G508" s="616"/>
      <c r="H508" s="617"/>
      <c r="I508" s="618"/>
      <c r="J508" s="616"/>
      <c r="K508" s="617"/>
      <c r="L508" s="618"/>
      <c r="M508" s="255"/>
      <c r="N508" s="256"/>
      <c r="O508" s="388"/>
      <c r="AA508" s="50"/>
      <c r="AD508" s="244"/>
      <c r="AE508" s="341" t="str">
        <f>IF(OR(AM508="",AM508=0,AJ508="",AG508=""),"",
(IF(AND(AF500=$P$4,AM508&lt;=$R$4),$V$4,0)+IF(AND(AF500=$P$5,AM508&lt;=$R$5),$V$5,0)+IF(AND(AF500=$P$6,AM508&lt;=$R$6),$V$6,0)+IF(AND(AF500=$P$7,AM508&lt;=$R$7),$V$7,0))
)</f>
        <v/>
      </c>
      <c r="AF508" s="153" t="s">
        <v>308</v>
      </c>
      <c r="AG508" s="598"/>
      <c r="AH508" s="599"/>
      <c r="AI508" s="600"/>
      <c r="AJ508" s="598"/>
      <c r="AK508" s="599"/>
      <c r="AL508" s="600"/>
      <c r="AM508" s="384"/>
      <c r="AN508" s="256"/>
      <c r="AO508" s="388"/>
    </row>
    <row r="509" spans="4:50" ht="16.2" thickBot="1" x14ac:dyDescent="0.35">
      <c r="D509" s="203"/>
      <c r="E509" s="3"/>
      <c r="F509" s="3"/>
      <c r="G509" s="3"/>
      <c r="H509" s="3"/>
      <c r="I509" s="3"/>
      <c r="J509" s="3"/>
      <c r="K509" s="3"/>
      <c r="L509" s="3"/>
      <c r="M509" s="3"/>
      <c r="N509" s="204"/>
      <c r="P509" s="2"/>
      <c r="AA509" s="50"/>
      <c r="AD509" s="203"/>
      <c r="AE509" s="3"/>
      <c r="AF509" s="3"/>
      <c r="AG509" s="3"/>
      <c r="AH509" s="3"/>
      <c r="AI509" s="3"/>
      <c r="AJ509" s="3"/>
      <c r="AK509" s="3"/>
      <c r="AL509" s="3"/>
      <c r="AM509" s="3"/>
      <c r="AN509" s="204"/>
      <c r="AP509" s="2"/>
    </row>
    <row r="510" spans="4:50" x14ac:dyDescent="0.3">
      <c r="D510" s="601" t="str">
        <f>IF(
OR(
OR(F512=$P$4,F512=$P$5,F512=$P$6,F512=$P$7),AND(G514="",G515="",G516="",G517="",G518="",G519="",G520="",J514="",J515="",J516="",J517="",J518="",J519="",J520="",M514="",M515="",M516="",M517="",M518="",M519="",M520="",K511="",K512="")
),
"",
"A Set-Aside must be selected."
)</f>
        <v/>
      </c>
      <c r="E510" s="602"/>
      <c r="F510" s="602"/>
      <c r="G510" s="602"/>
      <c r="H510" s="602"/>
      <c r="I510" s="602"/>
      <c r="J510" s="602"/>
      <c r="K510" s="602"/>
      <c r="L510" s="602"/>
      <c r="M510" s="602"/>
      <c r="N510" s="603"/>
      <c r="O510" s="2"/>
      <c r="AA510" s="50"/>
      <c r="AD510" s="601" t="str">
        <f>IF(
OR(
OR(AF512=$P$4,AF512=$P$5,AF512=$P$6,AF512=$P$7),AND(AG514="",AG515="",AG516="",AG517="",AG518="",AG519="",AG520="",AJ514="",AJ515="",AJ516="",AJ517="",AJ518="",AJ519="",AJ520="",AM514="",AM515="",AM516="",AM517="",AM518="",AM519="",AM520="",AK511="",AK512="")
),
"",
"A Set-Aside must be selected."
)</f>
        <v/>
      </c>
      <c r="AE510" s="602"/>
      <c r="AF510" s="602"/>
      <c r="AG510" s="602"/>
      <c r="AH510" s="602"/>
      <c r="AI510" s="602"/>
      <c r="AJ510" s="602"/>
      <c r="AK510" s="602"/>
      <c r="AL510" s="602"/>
      <c r="AM510" s="602"/>
      <c r="AN510" s="603"/>
      <c r="AO510" s="2"/>
    </row>
    <row r="511" spans="4:50" ht="15.75" customHeight="1" x14ac:dyDescent="0.3">
      <c r="D511" s="199"/>
      <c r="E511" s="9" t="s">
        <v>30</v>
      </c>
      <c r="F511" s="86">
        <f>F499+1</f>
        <v>40</v>
      </c>
      <c r="G511" s="9" t="s">
        <v>175</v>
      </c>
      <c r="H511" s="9"/>
      <c r="I511" s="9"/>
      <c r="J511" s="168" t="s">
        <v>111</v>
      </c>
      <c r="K511" s="148"/>
      <c r="N511" s="200"/>
      <c r="R511" s="596" t="s">
        <v>302</v>
      </c>
      <c r="S511" s="596" t="s">
        <v>303</v>
      </c>
      <c r="T511" s="596" t="s">
        <v>304</v>
      </c>
      <c r="U511" s="596" t="s">
        <v>305</v>
      </c>
      <c r="V511" s="596" t="s">
        <v>306</v>
      </c>
      <c r="W511" s="596" t="s">
        <v>307</v>
      </c>
      <c r="X511" s="596" t="s">
        <v>308</v>
      </c>
      <c r="AA511" s="50"/>
      <c r="AD511" s="199"/>
      <c r="AE511" s="9" t="s">
        <v>30</v>
      </c>
      <c r="AF511" s="86">
        <f>AF499+1</f>
        <v>40</v>
      </c>
      <c r="AG511" s="9" t="s">
        <v>175</v>
      </c>
      <c r="AH511" s="9"/>
      <c r="AI511" s="9"/>
      <c r="AJ511" s="168" t="s">
        <v>111</v>
      </c>
      <c r="AK511" s="382"/>
      <c r="AN511" s="200"/>
      <c r="AR511" s="596" t="s">
        <v>302</v>
      </c>
      <c r="AS511" s="596" t="s">
        <v>303</v>
      </c>
      <c r="AT511" s="596" t="s">
        <v>304</v>
      </c>
      <c r="AU511" s="596" t="s">
        <v>305</v>
      </c>
      <c r="AV511" s="596" t="s">
        <v>306</v>
      </c>
      <c r="AW511" s="596" t="s">
        <v>307</v>
      </c>
      <c r="AX511" s="596" t="s">
        <v>308</v>
      </c>
    </row>
    <row r="512" spans="4:50" x14ac:dyDescent="0.3">
      <c r="D512" s="604" t="s">
        <v>31</v>
      </c>
      <c r="E512" s="594"/>
      <c r="F512" s="151"/>
      <c r="G512" s="86" t="str">
        <f>IF(F512=$P$4,$Q$4,IF(F512=$P$5,$Q$5,IF(F512=$P$6,$Q$6,IF(F512=$P$7,Q$7,IF(F512=$P$8,"","")))))</f>
        <v/>
      </c>
      <c r="H512" s="201"/>
      <c r="I512" s="201"/>
      <c r="J512" s="168" t="s">
        <v>112</v>
      </c>
      <c r="K512" s="148"/>
      <c r="N512" s="200"/>
      <c r="R512" s="596"/>
      <c r="S512" s="596"/>
      <c r="T512" s="596"/>
      <c r="U512" s="596"/>
      <c r="V512" s="596"/>
      <c r="W512" s="596"/>
      <c r="X512" s="596"/>
      <c r="AA512" s="50"/>
      <c r="AD512" s="604" t="s">
        <v>31</v>
      </c>
      <c r="AE512" s="594"/>
      <c r="AF512" s="383"/>
      <c r="AG512" s="86" t="str">
        <f>IF(AF512=$P$4,$Q$4,IF(AF512=$P$5,$Q$5,IF(AF512=$P$6,$Q$6,IF(AF512=$P$7,AQ$7,IF(AF512=$P$8,"","")))))</f>
        <v/>
      </c>
      <c r="AH512" s="201"/>
      <c r="AI512" s="201"/>
      <c r="AJ512" s="168" t="s">
        <v>112</v>
      </c>
      <c r="AK512" s="382"/>
      <c r="AN512" s="200"/>
      <c r="AR512" s="596"/>
      <c r="AS512" s="596"/>
      <c r="AT512" s="596"/>
      <c r="AU512" s="596"/>
      <c r="AV512" s="596"/>
      <c r="AW512" s="596"/>
      <c r="AX512" s="596"/>
    </row>
    <row r="513" spans="4:50" ht="15" customHeight="1" x14ac:dyDescent="0.3">
      <c r="D513" s="244"/>
      <c r="E513" s="230" t="s">
        <v>52</v>
      </c>
      <c r="F513" s="9" t="s">
        <v>32</v>
      </c>
      <c r="G513" s="9" t="s">
        <v>33</v>
      </c>
      <c r="H513" s="9"/>
      <c r="I513" s="9"/>
      <c r="J513" s="9" t="s">
        <v>34</v>
      </c>
      <c r="K513" s="9"/>
      <c r="L513" s="9"/>
      <c r="M513" s="257" t="s">
        <v>35</v>
      </c>
      <c r="N513" s="202"/>
      <c r="O513" s="9"/>
      <c r="P513" s="198" t="s">
        <v>22</v>
      </c>
      <c r="Q513" s="198"/>
      <c r="R513" s="596"/>
      <c r="S513" s="596"/>
      <c r="T513" s="596"/>
      <c r="U513" s="596"/>
      <c r="V513" s="596"/>
      <c r="W513" s="596"/>
      <c r="X513" s="596"/>
      <c r="AA513" s="50"/>
      <c r="AD513" s="244"/>
      <c r="AE513" s="230" t="s">
        <v>52</v>
      </c>
      <c r="AF513" s="9" t="s">
        <v>32</v>
      </c>
      <c r="AG513" s="9" t="s">
        <v>33</v>
      </c>
      <c r="AH513" s="9"/>
      <c r="AI513" s="9"/>
      <c r="AJ513" s="9" t="s">
        <v>34</v>
      </c>
      <c r="AK513" s="9"/>
      <c r="AL513" s="9"/>
      <c r="AM513" s="257" t="s">
        <v>35</v>
      </c>
      <c r="AN513" s="202"/>
      <c r="AO513" s="9"/>
      <c r="AP513" s="198" t="s">
        <v>22</v>
      </c>
      <c r="AQ513" s="198"/>
      <c r="AR513" s="596"/>
      <c r="AS513" s="596"/>
      <c r="AT513" s="596"/>
      <c r="AU513" s="596"/>
      <c r="AV513" s="596"/>
      <c r="AW513" s="596"/>
      <c r="AX513" s="596"/>
    </row>
    <row r="514" spans="4:50" ht="15" customHeight="1" x14ac:dyDescent="0.3">
      <c r="D514" s="244"/>
      <c r="E514" s="355" t="str">
        <f>IF(OR(M514="",M514=0,J514="",G514=""),"",
(IF(AND(F512=$P$4,M514&lt;=$R$4),$V$4,0)+IF(AND(F512=$P$5,M514&lt;=$R$5),$V$5,0)+IF(AND(F512=$P$6,M514&lt;=$R$6),$V$6,0)+IF(AND(F512=$P$7,M514&lt;=$R$7),$V$7,0))
)</f>
        <v/>
      </c>
      <c r="F514" s="153" t="s">
        <v>302</v>
      </c>
      <c r="G514" s="616"/>
      <c r="H514" s="617"/>
      <c r="I514" s="618"/>
      <c r="J514" s="616"/>
      <c r="K514" s="617"/>
      <c r="L514" s="618"/>
      <c r="M514" s="255"/>
      <c r="N514" s="256"/>
      <c r="O514" s="388"/>
      <c r="P514" s="185">
        <f t="shared" ref="P514" si="623">IF(F512="",0,1)</f>
        <v>0</v>
      </c>
      <c r="R514" s="185" t="str">
        <f t="shared" ref="R514" si="624">E514</f>
        <v/>
      </c>
      <c r="S514" s="185" t="str">
        <f t="shared" ref="S514" si="625">E515</f>
        <v/>
      </c>
      <c r="T514" s="185" t="str">
        <f t="shared" ref="T514" si="626">E516</f>
        <v/>
      </c>
      <c r="U514" s="185" t="str">
        <f t="shared" ref="U514" si="627">E517</f>
        <v/>
      </c>
      <c r="V514" s="185" t="str">
        <f t="shared" ref="V514" si="628">E518</f>
        <v/>
      </c>
      <c r="W514" s="185" t="str">
        <f t="shared" ref="W514" si="629">E519</f>
        <v/>
      </c>
      <c r="X514" s="185" t="str">
        <f t="shared" ref="X514" si="630">E520</f>
        <v/>
      </c>
      <c r="AA514" s="50"/>
      <c r="AD514" s="244"/>
      <c r="AE514" s="355" t="str">
        <f>IF(OR(AM514="",AM514=0,AJ514="",AG514=""),"",
(IF(AND(AF512=$P$4,AM514&lt;=$R$4),$V$4,0)+IF(AND(AF512=$P$5,AM514&lt;=$R$5),$V$5,0)+IF(AND(AF512=$P$6,AM514&lt;=$R$6),$V$6,0)+IF(AND(AF512=$P$7,AM514&lt;=$R$7),$V$7,0))
)</f>
        <v/>
      </c>
      <c r="AF514" s="153" t="s">
        <v>302</v>
      </c>
      <c r="AG514" s="598"/>
      <c r="AH514" s="599"/>
      <c r="AI514" s="600"/>
      <c r="AJ514" s="598"/>
      <c r="AK514" s="599"/>
      <c r="AL514" s="600"/>
      <c r="AM514" s="384"/>
      <c r="AN514" s="256"/>
      <c r="AO514" s="388"/>
      <c r="AP514" s="185">
        <f t="shared" ref="AP514" si="631">IF(AF512="",0,1)</f>
        <v>0</v>
      </c>
      <c r="AR514" s="185" t="str">
        <f t="shared" ref="AR514" si="632">AE514</f>
        <v/>
      </c>
      <c r="AS514" s="185" t="str">
        <f t="shared" ref="AS514" si="633">AE515</f>
        <v/>
      </c>
      <c r="AT514" s="185" t="str">
        <f t="shared" ref="AT514" si="634">AE516</f>
        <v/>
      </c>
      <c r="AU514" s="185" t="str">
        <f t="shared" ref="AU514" si="635">AE517</f>
        <v/>
      </c>
      <c r="AV514" s="185" t="str">
        <f t="shared" ref="AV514" si="636">AE518</f>
        <v/>
      </c>
      <c r="AW514" s="185" t="str">
        <f t="shared" ref="AW514" si="637">AE519</f>
        <v/>
      </c>
      <c r="AX514" s="185" t="str">
        <f t="shared" ref="AX514" si="638">AE520</f>
        <v/>
      </c>
    </row>
    <row r="515" spans="4:50" ht="15" customHeight="1" x14ac:dyDescent="0.3">
      <c r="D515" s="244"/>
      <c r="E515" s="341" t="str">
        <f>IF(OR(M515="",M515=0,J515="",G515=""),"",
(IF(AND(F512=$P$4,M515&lt;=$R$4),$V$4,0)+IF(AND(F512=$P$5,M515&lt;=$R$5),$V$5,0)+IF(AND(F512=$P$6,M515&lt;=$R$6),$V$6,0)+IF(AND(F512=$P$7,M515&lt;=$R$7),$V$7,0))
)</f>
        <v/>
      </c>
      <c r="F515" s="153" t="s">
        <v>303</v>
      </c>
      <c r="G515" s="616"/>
      <c r="H515" s="617"/>
      <c r="I515" s="618"/>
      <c r="J515" s="616"/>
      <c r="K515" s="617"/>
      <c r="L515" s="618"/>
      <c r="M515" s="255"/>
      <c r="N515" s="256"/>
      <c r="O515" s="388"/>
      <c r="AA515" s="50"/>
      <c r="AD515" s="244"/>
      <c r="AE515" s="341" t="str">
        <f>IF(OR(AM515="",AM515=0,AJ515="",AG515=""),"",
(IF(AND(AF512=$P$4,AM515&lt;=$R$4),$V$4,0)+IF(AND(AF512=$P$5,AM515&lt;=$R$5),$V$5,0)+IF(AND(AF512=$P$6,AM515&lt;=$R$6),$V$6,0)+IF(AND(AF512=$P$7,AM515&lt;=$R$7),$V$7,0))
)</f>
        <v/>
      </c>
      <c r="AF515" s="153" t="s">
        <v>303</v>
      </c>
      <c r="AG515" s="598"/>
      <c r="AH515" s="599"/>
      <c r="AI515" s="600"/>
      <c r="AJ515" s="598"/>
      <c r="AK515" s="599"/>
      <c r="AL515" s="600"/>
      <c r="AM515" s="384"/>
      <c r="AN515" s="256"/>
      <c r="AO515" s="388"/>
    </row>
    <row r="516" spans="4:50" ht="15" customHeight="1" x14ac:dyDescent="0.3">
      <c r="D516" s="244"/>
      <c r="E516" s="341" t="str">
        <f>IF(OR(M516="",M516=0,J516="",G516=""),"",
(IF(AND(F512=$P$4,M516&lt;=$R$4),$V$4,0)+IF(AND(F512=$P$5,M516&lt;=$R$5),$V$5,0)+IF(AND(F512=$P$6,M516&lt;=$R$6),$V$6,0)+IF(AND(F512=$P$7,M516&lt;=$R$7),$V$7,0))
)</f>
        <v/>
      </c>
      <c r="F516" s="153" t="s">
        <v>304</v>
      </c>
      <c r="G516" s="616"/>
      <c r="H516" s="617"/>
      <c r="I516" s="618"/>
      <c r="J516" s="616"/>
      <c r="K516" s="617"/>
      <c r="L516" s="618"/>
      <c r="M516" s="255"/>
      <c r="N516" s="256"/>
      <c r="O516" s="388"/>
      <c r="AA516" s="50"/>
      <c r="AD516" s="244"/>
      <c r="AE516" s="341" t="str">
        <f>IF(OR(AM516="",AM516=0,AJ516="",AG516=""),"",
(IF(AND(AF512=$P$4,AM516&lt;=$R$4),$V$4,0)+IF(AND(AF512=$P$5,AM516&lt;=$R$5),$V$5,0)+IF(AND(AF512=$P$6,AM516&lt;=$R$6),$V$6,0)+IF(AND(AF512=$P$7,AM516&lt;=$R$7),$V$7,0))
)</f>
        <v/>
      </c>
      <c r="AF516" s="153" t="s">
        <v>304</v>
      </c>
      <c r="AG516" s="598"/>
      <c r="AH516" s="599"/>
      <c r="AI516" s="600"/>
      <c r="AJ516" s="598"/>
      <c r="AK516" s="599"/>
      <c r="AL516" s="600"/>
      <c r="AM516" s="384"/>
      <c r="AN516" s="256"/>
      <c r="AO516" s="388"/>
    </row>
    <row r="517" spans="4:50" ht="15" customHeight="1" x14ac:dyDescent="0.3">
      <c r="D517" s="244"/>
      <c r="E517" s="341" t="str">
        <f>IF(OR(M517="",M517=0,J517="",G517=""),"",
(IF(AND(F512=$P$4,M517&lt;=$R$4),$V$4,0)+IF(AND(F512=$P$5,M517&lt;=$R$5),$V$5,0)+IF(AND(F512=$P$6,M517&lt;=$R$6),$V$6,0)+IF(AND(F512=$P$7,M517&lt;=$R$7),$V$7,0))
)</f>
        <v/>
      </c>
      <c r="F517" s="153" t="s">
        <v>305</v>
      </c>
      <c r="G517" s="616"/>
      <c r="H517" s="617"/>
      <c r="I517" s="618"/>
      <c r="J517" s="616"/>
      <c r="K517" s="617"/>
      <c r="L517" s="618"/>
      <c r="M517" s="255"/>
      <c r="N517" s="256"/>
      <c r="O517" s="388"/>
      <c r="AA517" s="50"/>
      <c r="AD517" s="244"/>
      <c r="AE517" s="341" t="str">
        <f>IF(OR(AM517="",AM517=0,AJ517="",AG517=""),"",
(IF(AND(AF512=$P$4,AM517&lt;=$R$4),$V$4,0)+IF(AND(AF512=$P$5,AM517&lt;=$R$5),$V$5,0)+IF(AND(AF512=$P$6,AM517&lt;=$R$6),$V$6,0)+IF(AND(AF512=$P$7,AM517&lt;=$R$7),$V$7,0))
)</f>
        <v/>
      </c>
      <c r="AF517" s="153" t="s">
        <v>305</v>
      </c>
      <c r="AG517" s="598"/>
      <c r="AH517" s="599"/>
      <c r="AI517" s="600"/>
      <c r="AJ517" s="598"/>
      <c r="AK517" s="599"/>
      <c r="AL517" s="600"/>
      <c r="AM517" s="384"/>
      <c r="AN517" s="256"/>
      <c r="AO517" s="388"/>
    </row>
    <row r="518" spans="4:50" x14ac:dyDescent="0.3">
      <c r="D518" s="244"/>
      <c r="E518" s="341" t="str">
        <f>IF(OR(M518="",M518=0,J518="",G518=""),"",
(IF(AND(F512=$P$4,M518&lt;=$R$4),$V$4,0)+IF(AND(F512=$P$5,M518&lt;=$R$5),$V$5,0)+IF(AND(F512=$P$6,M518&lt;=$R$6),$V$6,0)+IF(AND(F512=$P$7,M518&lt;=$R$7),$V$7,0))
)</f>
        <v/>
      </c>
      <c r="F518" s="153" t="s">
        <v>306</v>
      </c>
      <c r="G518" s="616"/>
      <c r="H518" s="617"/>
      <c r="I518" s="618"/>
      <c r="J518" s="616"/>
      <c r="K518" s="617"/>
      <c r="L518" s="618"/>
      <c r="M518" s="255"/>
      <c r="N518" s="256"/>
      <c r="O518" s="388"/>
      <c r="AA518" s="50"/>
      <c r="AD518" s="244"/>
      <c r="AE518" s="341" t="str">
        <f>IF(OR(AM518="",AM518=0,AJ518="",AG518=""),"",
(IF(AND(AF512=$P$4,AM518&lt;=$R$4),$V$4,0)+IF(AND(AF512=$P$5,AM518&lt;=$R$5),$V$5,0)+IF(AND(AF512=$P$6,AM518&lt;=$R$6),$V$6,0)+IF(AND(AF512=$P$7,AM518&lt;=$R$7),$V$7,0))
)</f>
        <v/>
      </c>
      <c r="AF518" s="153" t="s">
        <v>306</v>
      </c>
      <c r="AG518" s="598"/>
      <c r="AH518" s="599"/>
      <c r="AI518" s="600"/>
      <c r="AJ518" s="598"/>
      <c r="AK518" s="599"/>
      <c r="AL518" s="600"/>
      <c r="AM518" s="384"/>
      <c r="AN518" s="256"/>
      <c r="AO518" s="388"/>
    </row>
    <row r="519" spans="4:50" x14ac:dyDescent="0.3">
      <c r="D519" s="244"/>
      <c r="E519" s="341" t="str">
        <f>IF(OR(M519="",M519=0,J519="",G519=""),"",
(IF(AND(F512=$P$4,M519&lt;=$R$4),$V$4,0)+IF(AND(F512=$P$5,M519&lt;=$R$5),$V$5,0)+IF(AND(F512=$P$6,M519&lt;=$R$6),$V$6,0)+IF(AND(F512=$P$7,M519&lt;=$R$7),$V$7,0))
)</f>
        <v/>
      </c>
      <c r="F519" s="153" t="s">
        <v>307</v>
      </c>
      <c r="G519" s="616"/>
      <c r="H519" s="617"/>
      <c r="I519" s="618"/>
      <c r="J519" s="616"/>
      <c r="K519" s="617"/>
      <c r="L519" s="618"/>
      <c r="M519" s="255"/>
      <c r="N519" s="256"/>
      <c r="O519" s="388"/>
      <c r="AA519" s="50"/>
      <c r="AD519" s="244"/>
      <c r="AE519" s="341" t="str">
        <f>IF(OR(AM519="",AM519=0,AJ519="",AG519=""),"",
(IF(AND(AF512=$P$4,AM519&lt;=$R$4),$V$4,0)+IF(AND(AF512=$P$5,AM519&lt;=$R$5),$V$5,0)+IF(AND(AF512=$P$6,AM519&lt;=$R$6),$V$6,0)+IF(AND(AF512=$P$7,AM519&lt;=$R$7),$V$7,0))
)</f>
        <v/>
      </c>
      <c r="AF519" s="153" t="s">
        <v>307</v>
      </c>
      <c r="AG519" s="598"/>
      <c r="AH519" s="599"/>
      <c r="AI519" s="600"/>
      <c r="AJ519" s="598"/>
      <c r="AK519" s="599"/>
      <c r="AL519" s="600"/>
      <c r="AM519" s="384"/>
      <c r="AN519" s="256"/>
      <c r="AO519" s="388"/>
    </row>
    <row r="520" spans="4:50" x14ac:dyDescent="0.3">
      <c r="D520" s="244"/>
      <c r="E520" s="341" t="str">
        <f>IF(OR(M520="",M520=0,J520="",G520=""),"",
(IF(AND(F512=$P$4,M520&lt;=$R$4),$V$4,0)+IF(AND(F512=$P$5,M520&lt;=$R$5),$V$5,0)+IF(AND(F512=$P$6,M520&lt;=$R$6),$V$6,0)+IF(AND(F512=$P$7,M520&lt;=$R$7),$V$7,0))
)</f>
        <v/>
      </c>
      <c r="F520" s="153" t="s">
        <v>308</v>
      </c>
      <c r="G520" s="616"/>
      <c r="H520" s="617"/>
      <c r="I520" s="618"/>
      <c r="J520" s="616"/>
      <c r="K520" s="617"/>
      <c r="L520" s="618"/>
      <c r="M520" s="255"/>
      <c r="N520" s="256"/>
      <c r="O520" s="388"/>
      <c r="AA520" s="50"/>
      <c r="AD520" s="244"/>
      <c r="AE520" s="341" t="str">
        <f>IF(OR(AM520="",AM520=0,AJ520="",AG520=""),"",
(IF(AND(AF512=$P$4,AM520&lt;=$R$4),$V$4,0)+IF(AND(AF512=$P$5,AM520&lt;=$R$5),$V$5,0)+IF(AND(AF512=$P$6,AM520&lt;=$R$6),$V$6,0)+IF(AND(AF512=$P$7,AM520&lt;=$R$7),$V$7,0))
)</f>
        <v/>
      </c>
      <c r="AF520" s="153" t="s">
        <v>308</v>
      </c>
      <c r="AG520" s="598"/>
      <c r="AH520" s="599"/>
      <c r="AI520" s="600"/>
      <c r="AJ520" s="598"/>
      <c r="AK520" s="599"/>
      <c r="AL520" s="600"/>
      <c r="AM520" s="384"/>
      <c r="AN520" s="256"/>
      <c r="AO520" s="388"/>
    </row>
    <row r="521" spans="4:50" ht="16.2" thickBot="1" x14ac:dyDescent="0.35">
      <c r="D521" s="203"/>
      <c r="E521" s="3"/>
      <c r="F521" s="3"/>
      <c r="G521" s="3"/>
      <c r="H521" s="3"/>
      <c r="I521" s="3"/>
      <c r="J521" s="3"/>
      <c r="K521" s="3"/>
      <c r="L521" s="3"/>
      <c r="M521" s="3"/>
      <c r="N521" s="204"/>
      <c r="P521" s="2"/>
      <c r="AA521" s="50"/>
      <c r="AD521" s="203"/>
      <c r="AE521" s="3"/>
      <c r="AF521" s="3"/>
      <c r="AG521" s="3"/>
      <c r="AH521" s="3"/>
      <c r="AI521" s="3"/>
      <c r="AJ521" s="3"/>
      <c r="AK521" s="3"/>
      <c r="AL521" s="3"/>
      <c r="AM521" s="3"/>
      <c r="AN521" s="204"/>
      <c r="AP521" s="2"/>
    </row>
    <row r="522" spans="4:50" x14ac:dyDescent="0.3">
      <c r="D522" s="601" t="str">
        <f>IF(
OR(
OR(F524=$P$4,F524=$P$5,F524=$P$6,F524=$P$7),AND(G526="",G527="",G528="",G529="",G530="",G531="",G532="",J526="",J527="",J528="",J529="",J530="",J531="",J532="",M526="",M527="",M528="",M529="",M530="",M531="",M532="",K523="",K524="")
),
"",
"A Set-Aside must be selected."
)</f>
        <v/>
      </c>
      <c r="E522" s="602"/>
      <c r="F522" s="602"/>
      <c r="G522" s="602"/>
      <c r="H522" s="602"/>
      <c r="I522" s="602"/>
      <c r="J522" s="602"/>
      <c r="K522" s="602"/>
      <c r="L522" s="602"/>
      <c r="M522" s="602"/>
      <c r="N522" s="603"/>
      <c r="O522" s="2"/>
      <c r="AA522" s="50"/>
      <c r="AD522" s="601" t="str">
        <f>IF(
OR(
OR(AF524=$P$4,AF524=$P$5,AF524=$P$6,AF524=$P$7),AND(AG526="",AG527="",AG528="",AG529="",AG530="",AG531="",AG532="",AJ526="",AJ527="",AJ528="",AJ529="",AJ530="",AJ531="",AJ532="",AM526="",AM527="",AM528="",AM529="",AM530="",AM531="",AM532="",AK523="",AK524="")
),
"",
"A Set-Aside must be selected."
)</f>
        <v/>
      </c>
      <c r="AE522" s="602"/>
      <c r="AF522" s="602"/>
      <c r="AG522" s="602"/>
      <c r="AH522" s="602"/>
      <c r="AI522" s="602"/>
      <c r="AJ522" s="602"/>
      <c r="AK522" s="602"/>
      <c r="AL522" s="602"/>
      <c r="AM522" s="602"/>
      <c r="AN522" s="603"/>
      <c r="AO522" s="2"/>
    </row>
    <row r="523" spans="4:50" ht="15" customHeight="1" x14ac:dyDescent="0.3">
      <c r="D523" s="199"/>
      <c r="E523" s="9" t="s">
        <v>30</v>
      </c>
      <c r="F523" s="86">
        <f>F511+1</f>
        <v>41</v>
      </c>
      <c r="G523" s="9" t="s">
        <v>175</v>
      </c>
      <c r="H523" s="9"/>
      <c r="I523" s="9"/>
      <c r="J523" s="168" t="s">
        <v>111</v>
      </c>
      <c r="K523" s="148"/>
      <c r="N523" s="200"/>
      <c r="R523" s="596" t="s">
        <v>302</v>
      </c>
      <c r="S523" s="596" t="s">
        <v>303</v>
      </c>
      <c r="T523" s="596" t="s">
        <v>304</v>
      </c>
      <c r="U523" s="596" t="s">
        <v>305</v>
      </c>
      <c r="V523" s="596" t="s">
        <v>306</v>
      </c>
      <c r="W523" s="596" t="s">
        <v>307</v>
      </c>
      <c r="X523" s="596" t="s">
        <v>308</v>
      </c>
      <c r="AA523" s="50"/>
      <c r="AD523" s="199"/>
      <c r="AE523" s="9" t="s">
        <v>30</v>
      </c>
      <c r="AF523" s="86">
        <f>AF511+1</f>
        <v>41</v>
      </c>
      <c r="AG523" s="9" t="s">
        <v>175</v>
      </c>
      <c r="AH523" s="9"/>
      <c r="AI523" s="9"/>
      <c r="AJ523" s="168" t="s">
        <v>111</v>
      </c>
      <c r="AK523" s="382"/>
      <c r="AN523" s="200"/>
      <c r="AR523" s="596" t="s">
        <v>302</v>
      </c>
      <c r="AS523" s="596" t="s">
        <v>303</v>
      </c>
      <c r="AT523" s="596" t="s">
        <v>304</v>
      </c>
      <c r="AU523" s="596" t="s">
        <v>305</v>
      </c>
      <c r="AV523" s="596" t="s">
        <v>306</v>
      </c>
      <c r="AW523" s="596" t="s">
        <v>307</v>
      </c>
      <c r="AX523" s="596" t="s">
        <v>308</v>
      </c>
    </row>
    <row r="524" spans="4:50" ht="15" customHeight="1" x14ac:dyDescent="0.3">
      <c r="D524" s="604" t="s">
        <v>31</v>
      </c>
      <c r="E524" s="594"/>
      <c r="F524" s="151"/>
      <c r="G524" s="86" t="str">
        <f>IF(F524=$P$4,$Q$4,IF(F524=$P$5,$Q$5,IF(F524=$P$6,$Q$6,IF(F524=$P$7,Q$7,IF(F524=$P$8,"","")))))</f>
        <v/>
      </c>
      <c r="H524" s="201"/>
      <c r="I524" s="201"/>
      <c r="J524" s="168" t="s">
        <v>112</v>
      </c>
      <c r="K524" s="148"/>
      <c r="N524" s="200"/>
      <c r="R524" s="596"/>
      <c r="S524" s="596"/>
      <c r="T524" s="596"/>
      <c r="U524" s="596"/>
      <c r="V524" s="596"/>
      <c r="W524" s="596"/>
      <c r="X524" s="596"/>
      <c r="AA524" s="50"/>
      <c r="AD524" s="604" t="s">
        <v>31</v>
      </c>
      <c r="AE524" s="594"/>
      <c r="AF524" s="383"/>
      <c r="AG524" s="86" t="str">
        <f>IF(AF524=$P$4,$Q$4,IF(AF524=$P$5,$Q$5,IF(AF524=$P$6,$Q$6,IF(AF524=$P$7,AQ$7,IF(AF524=$P$8,"","")))))</f>
        <v/>
      </c>
      <c r="AH524" s="201"/>
      <c r="AI524" s="201"/>
      <c r="AJ524" s="168" t="s">
        <v>112</v>
      </c>
      <c r="AK524" s="382"/>
      <c r="AN524" s="200"/>
      <c r="AR524" s="596"/>
      <c r="AS524" s="596"/>
      <c r="AT524" s="596"/>
      <c r="AU524" s="596"/>
      <c r="AV524" s="596"/>
      <c r="AW524" s="596"/>
      <c r="AX524" s="596"/>
    </row>
    <row r="525" spans="4:50" ht="15" customHeight="1" x14ac:dyDescent="0.3">
      <c r="D525" s="244"/>
      <c r="E525" s="230" t="s">
        <v>52</v>
      </c>
      <c r="F525" s="9" t="s">
        <v>32</v>
      </c>
      <c r="G525" s="9" t="s">
        <v>33</v>
      </c>
      <c r="H525" s="9"/>
      <c r="I525" s="9"/>
      <c r="J525" s="9" t="s">
        <v>34</v>
      </c>
      <c r="K525" s="9"/>
      <c r="L525" s="9"/>
      <c r="M525" s="257" t="s">
        <v>35</v>
      </c>
      <c r="N525" s="202"/>
      <c r="O525" s="9"/>
      <c r="P525" s="198" t="s">
        <v>22</v>
      </c>
      <c r="Q525" s="198"/>
      <c r="R525" s="596"/>
      <c r="S525" s="596"/>
      <c r="T525" s="596"/>
      <c r="U525" s="596"/>
      <c r="V525" s="596"/>
      <c r="W525" s="596"/>
      <c r="X525" s="596"/>
      <c r="AA525" s="50"/>
      <c r="AD525" s="244"/>
      <c r="AE525" s="230" t="s">
        <v>52</v>
      </c>
      <c r="AF525" s="9" t="s">
        <v>32</v>
      </c>
      <c r="AG525" s="9" t="s">
        <v>33</v>
      </c>
      <c r="AH525" s="9"/>
      <c r="AI525" s="9"/>
      <c r="AJ525" s="9" t="s">
        <v>34</v>
      </c>
      <c r="AK525" s="9"/>
      <c r="AL525" s="9"/>
      <c r="AM525" s="257" t="s">
        <v>35</v>
      </c>
      <c r="AN525" s="202"/>
      <c r="AO525" s="9"/>
      <c r="AP525" s="198" t="s">
        <v>22</v>
      </c>
      <c r="AQ525" s="198"/>
      <c r="AR525" s="596"/>
      <c r="AS525" s="596"/>
      <c r="AT525" s="596"/>
      <c r="AU525" s="596"/>
      <c r="AV525" s="596"/>
      <c r="AW525" s="596"/>
      <c r="AX525" s="596"/>
    </row>
    <row r="526" spans="4:50" ht="15" customHeight="1" x14ac:dyDescent="0.3">
      <c r="D526" s="244"/>
      <c r="E526" s="355" t="str">
        <f>IF(OR(M526="",M526=0,J526="",G526=""),"",
(IF(AND(F524=$P$4,M526&lt;=$R$4),$V$4,0)+IF(AND(F524=$P$5,M526&lt;=$R$5),$V$5,0)+IF(AND(F524=$P$6,M526&lt;=$R$6),$V$6,0)+IF(AND(F524=$P$7,M526&lt;=$R$7),$V$7,0))
)</f>
        <v/>
      </c>
      <c r="F526" s="153" t="s">
        <v>302</v>
      </c>
      <c r="G526" s="616"/>
      <c r="H526" s="617"/>
      <c r="I526" s="618"/>
      <c r="J526" s="616"/>
      <c r="K526" s="617"/>
      <c r="L526" s="618"/>
      <c r="M526" s="255"/>
      <c r="N526" s="256"/>
      <c r="O526" s="388"/>
      <c r="P526" s="185">
        <f t="shared" ref="P526" si="639">IF(F524="",0,1)</f>
        <v>0</v>
      </c>
      <c r="R526" s="185" t="str">
        <f t="shared" ref="R526" si="640">E526</f>
        <v/>
      </c>
      <c r="S526" s="185" t="str">
        <f t="shared" ref="S526" si="641">E527</f>
        <v/>
      </c>
      <c r="T526" s="185" t="str">
        <f t="shared" ref="T526" si="642">E528</f>
        <v/>
      </c>
      <c r="U526" s="185" t="str">
        <f t="shared" ref="U526" si="643">E529</f>
        <v/>
      </c>
      <c r="V526" s="185" t="str">
        <f t="shared" ref="V526" si="644">E530</f>
        <v/>
      </c>
      <c r="W526" s="185" t="str">
        <f t="shared" ref="W526" si="645">E531</f>
        <v/>
      </c>
      <c r="X526" s="185" t="str">
        <f t="shared" ref="X526" si="646">E532</f>
        <v/>
      </c>
      <c r="AA526" s="50"/>
      <c r="AD526" s="244"/>
      <c r="AE526" s="355" t="str">
        <f>IF(OR(AM526="",AM526=0,AJ526="",AG526=""),"",
(IF(AND(AF524=$P$4,AM526&lt;=$R$4),$V$4,0)+IF(AND(AF524=$P$5,AM526&lt;=$R$5),$V$5,0)+IF(AND(AF524=$P$6,AM526&lt;=$R$6),$V$6,0)+IF(AND(AF524=$P$7,AM526&lt;=$R$7),$V$7,0))
)</f>
        <v/>
      </c>
      <c r="AF526" s="153" t="s">
        <v>302</v>
      </c>
      <c r="AG526" s="598"/>
      <c r="AH526" s="599"/>
      <c r="AI526" s="600"/>
      <c r="AJ526" s="598"/>
      <c r="AK526" s="599"/>
      <c r="AL526" s="600"/>
      <c r="AM526" s="384"/>
      <c r="AN526" s="256"/>
      <c r="AO526" s="388"/>
      <c r="AP526" s="185">
        <f t="shared" ref="AP526" si="647">IF(AF524="",0,1)</f>
        <v>0</v>
      </c>
      <c r="AR526" s="185" t="str">
        <f t="shared" ref="AR526" si="648">AE526</f>
        <v/>
      </c>
      <c r="AS526" s="185" t="str">
        <f t="shared" ref="AS526" si="649">AE527</f>
        <v/>
      </c>
      <c r="AT526" s="185" t="str">
        <f t="shared" ref="AT526" si="650">AE528</f>
        <v/>
      </c>
      <c r="AU526" s="185" t="str">
        <f t="shared" ref="AU526" si="651">AE529</f>
        <v/>
      </c>
      <c r="AV526" s="185" t="str">
        <f t="shared" ref="AV526" si="652">AE530</f>
        <v/>
      </c>
      <c r="AW526" s="185" t="str">
        <f t="shared" ref="AW526" si="653">AE531</f>
        <v/>
      </c>
      <c r="AX526" s="185" t="str">
        <f t="shared" ref="AX526" si="654">AE532</f>
        <v/>
      </c>
    </row>
    <row r="527" spans="4:50" ht="15" customHeight="1" x14ac:dyDescent="0.3">
      <c r="D527" s="244"/>
      <c r="E527" s="341" t="str">
        <f>IF(OR(M527="",M527=0,J527="",G527=""),"",
(IF(AND(F524=$P$4,M527&lt;=$R$4),$V$4,0)+IF(AND(F524=$P$5,M527&lt;=$R$5),$V$5,0)+IF(AND(F524=$P$6,M527&lt;=$R$6),$V$6,0)+IF(AND(F524=$P$7,M527&lt;=$R$7),$V$7,0))
)</f>
        <v/>
      </c>
      <c r="F527" s="153" t="s">
        <v>303</v>
      </c>
      <c r="G527" s="616"/>
      <c r="H527" s="617"/>
      <c r="I527" s="618"/>
      <c r="J527" s="616"/>
      <c r="K527" s="617"/>
      <c r="L527" s="618"/>
      <c r="M527" s="255"/>
      <c r="N527" s="256"/>
      <c r="O527" s="388"/>
      <c r="AA527" s="50"/>
      <c r="AD527" s="244"/>
      <c r="AE527" s="341" t="str">
        <f>IF(OR(AM527="",AM527=0,AJ527="",AG527=""),"",
(IF(AND(AF524=$P$4,AM527&lt;=$R$4),$V$4,0)+IF(AND(AF524=$P$5,AM527&lt;=$R$5),$V$5,0)+IF(AND(AF524=$P$6,AM527&lt;=$R$6),$V$6,0)+IF(AND(AF524=$P$7,AM527&lt;=$R$7),$V$7,0))
)</f>
        <v/>
      </c>
      <c r="AF527" s="153" t="s">
        <v>303</v>
      </c>
      <c r="AG527" s="598"/>
      <c r="AH527" s="599"/>
      <c r="AI527" s="600"/>
      <c r="AJ527" s="598"/>
      <c r="AK527" s="599"/>
      <c r="AL527" s="600"/>
      <c r="AM527" s="384"/>
      <c r="AN527" s="256"/>
      <c r="AO527" s="388"/>
    </row>
    <row r="528" spans="4:50" x14ac:dyDescent="0.3">
      <c r="D528" s="244"/>
      <c r="E528" s="341" t="str">
        <f>IF(OR(M528="",M528=0,J528="",G528=""),"",
(IF(AND(F524=$P$4,M528&lt;=$R$4),$V$4,0)+IF(AND(F524=$P$5,M528&lt;=$R$5),$V$5,0)+IF(AND(F524=$P$6,M528&lt;=$R$6),$V$6,0)+IF(AND(F524=$P$7,M528&lt;=$R$7),$V$7,0))
)</f>
        <v/>
      </c>
      <c r="F528" s="153" t="s">
        <v>304</v>
      </c>
      <c r="G528" s="616"/>
      <c r="H528" s="617"/>
      <c r="I528" s="618"/>
      <c r="J528" s="616"/>
      <c r="K528" s="617"/>
      <c r="L528" s="618"/>
      <c r="M528" s="255"/>
      <c r="N528" s="256"/>
      <c r="O528" s="388"/>
      <c r="AA528" s="50"/>
      <c r="AD528" s="244"/>
      <c r="AE528" s="341" t="str">
        <f>IF(OR(AM528="",AM528=0,AJ528="",AG528=""),"",
(IF(AND(AF524=$P$4,AM528&lt;=$R$4),$V$4,0)+IF(AND(AF524=$P$5,AM528&lt;=$R$5),$V$5,0)+IF(AND(AF524=$P$6,AM528&lt;=$R$6),$V$6,0)+IF(AND(AF524=$P$7,AM528&lt;=$R$7),$V$7,0))
)</f>
        <v/>
      </c>
      <c r="AF528" s="153" t="s">
        <v>304</v>
      </c>
      <c r="AG528" s="598"/>
      <c r="AH528" s="599"/>
      <c r="AI528" s="600"/>
      <c r="AJ528" s="598"/>
      <c r="AK528" s="599"/>
      <c r="AL528" s="600"/>
      <c r="AM528" s="384"/>
      <c r="AN528" s="256"/>
      <c r="AO528" s="388"/>
    </row>
    <row r="529" spans="4:50" x14ac:dyDescent="0.3">
      <c r="D529" s="244"/>
      <c r="E529" s="341" t="str">
        <f>IF(OR(M529="",M529=0,J529="",G529=""),"",
(IF(AND(F524=$P$4,M529&lt;=$R$4),$V$4,0)+IF(AND(F524=$P$5,M529&lt;=$R$5),$V$5,0)+IF(AND(F524=$P$6,M529&lt;=$R$6),$V$6,0)+IF(AND(F524=$P$7,M529&lt;=$R$7),$V$7,0))
)</f>
        <v/>
      </c>
      <c r="F529" s="153" t="s">
        <v>305</v>
      </c>
      <c r="G529" s="616"/>
      <c r="H529" s="617"/>
      <c r="I529" s="618"/>
      <c r="J529" s="616"/>
      <c r="K529" s="617"/>
      <c r="L529" s="618"/>
      <c r="M529" s="255"/>
      <c r="N529" s="256"/>
      <c r="O529" s="388"/>
      <c r="AA529" s="50"/>
      <c r="AD529" s="244"/>
      <c r="AE529" s="341" t="str">
        <f>IF(OR(AM529="",AM529=0,AJ529="",AG529=""),"",
(IF(AND(AF524=$P$4,AM529&lt;=$R$4),$V$4,0)+IF(AND(AF524=$P$5,AM529&lt;=$R$5),$V$5,0)+IF(AND(AF524=$P$6,AM529&lt;=$R$6),$V$6,0)+IF(AND(AF524=$P$7,AM529&lt;=$R$7),$V$7,0))
)</f>
        <v/>
      </c>
      <c r="AF529" s="153" t="s">
        <v>305</v>
      </c>
      <c r="AG529" s="598"/>
      <c r="AH529" s="599"/>
      <c r="AI529" s="600"/>
      <c r="AJ529" s="598"/>
      <c r="AK529" s="599"/>
      <c r="AL529" s="600"/>
      <c r="AM529" s="384"/>
      <c r="AN529" s="256"/>
      <c r="AO529" s="388"/>
    </row>
    <row r="530" spans="4:50" x14ac:dyDescent="0.3">
      <c r="D530" s="244"/>
      <c r="E530" s="341" t="str">
        <f>IF(OR(M530="",M530=0,J530="",G530=""),"",
(IF(AND(F524=$P$4,M530&lt;=$R$4),$V$4,0)+IF(AND(F524=$P$5,M530&lt;=$R$5),$V$5,0)+IF(AND(F524=$P$6,M530&lt;=$R$6),$V$6,0)+IF(AND(F524=$P$7,M530&lt;=$R$7),$V$7,0))
)</f>
        <v/>
      </c>
      <c r="F530" s="153" t="s">
        <v>306</v>
      </c>
      <c r="G530" s="616"/>
      <c r="H530" s="617"/>
      <c r="I530" s="618"/>
      <c r="J530" s="616"/>
      <c r="K530" s="617"/>
      <c r="L530" s="618"/>
      <c r="M530" s="255"/>
      <c r="N530" s="256"/>
      <c r="O530" s="388"/>
      <c r="AA530" s="50"/>
      <c r="AD530" s="244"/>
      <c r="AE530" s="341" t="str">
        <f>IF(OR(AM530="",AM530=0,AJ530="",AG530=""),"",
(IF(AND(AF524=$P$4,AM530&lt;=$R$4),$V$4,0)+IF(AND(AF524=$P$5,AM530&lt;=$R$5),$V$5,0)+IF(AND(AF524=$P$6,AM530&lt;=$R$6),$V$6,0)+IF(AND(AF524=$P$7,AM530&lt;=$R$7),$V$7,0))
)</f>
        <v/>
      </c>
      <c r="AF530" s="153" t="s">
        <v>306</v>
      </c>
      <c r="AG530" s="598"/>
      <c r="AH530" s="599"/>
      <c r="AI530" s="600"/>
      <c r="AJ530" s="598"/>
      <c r="AK530" s="599"/>
      <c r="AL530" s="600"/>
      <c r="AM530" s="384"/>
      <c r="AN530" s="256"/>
      <c r="AO530" s="388"/>
    </row>
    <row r="531" spans="4:50" x14ac:dyDescent="0.3">
      <c r="D531" s="244"/>
      <c r="E531" s="341" t="str">
        <f>IF(OR(M531="",M531=0,J531="",G531=""),"",
(IF(AND(F524=$P$4,M531&lt;=$R$4),$V$4,0)+IF(AND(F524=$P$5,M531&lt;=$R$5),$V$5,0)+IF(AND(F524=$P$6,M531&lt;=$R$6),$V$6,0)+IF(AND(F524=$P$7,M531&lt;=$R$7),$V$7,0))
)</f>
        <v/>
      </c>
      <c r="F531" s="153" t="s">
        <v>307</v>
      </c>
      <c r="G531" s="616"/>
      <c r="H531" s="617"/>
      <c r="I531" s="618"/>
      <c r="J531" s="616"/>
      <c r="K531" s="617"/>
      <c r="L531" s="618"/>
      <c r="M531" s="255"/>
      <c r="N531" s="256"/>
      <c r="O531" s="388"/>
      <c r="AA531" s="50"/>
      <c r="AD531" s="244"/>
      <c r="AE531" s="341" t="str">
        <f>IF(OR(AM531="",AM531=0,AJ531="",AG531=""),"",
(IF(AND(AF524=$P$4,AM531&lt;=$R$4),$V$4,0)+IF(AND(AF524=$P$5,AM531&lt;=$R$5),$V$5,0)+IF(AND(AF524=$P$6,AM531&lt;=$R$6),$V$6,0)+IF(AND(AF524=$P$7,AM531&lt;=$R$7),$V$7,0))
)</f>
        <v/>
      </c>
      <c r="AF531" s="153" t="s">
        <v>307</v>
      </c>
      <c r="AG531" s="598"/>
      <c r="AH531" s="599"/>
      <c r="AI531" s="600"/>
      <c r="AJ531" s="598"/>
      <c r="AK531" s="599"/>
      <c r="AL531" s="600"/>
      <c r="AM531" s="384"/>
      <c r="AN531" s="256"/>
      <c r="AO531" s="388"/>
    </row>
    <row r="532" spans="4:50" x14ac:dyDescent="0.3">
      <c r="D532" s="244"/>
      <c r="E532" s="341" t="str">
        <f>IF(OR(M532="",M532=0,J532="",G532=""),"",
(IF(AND(F524=$P$4,M532&lt;=$R$4),$V$4,0)+IF(AND(F524=$P$5,M532&lt;=$R$5),$V$5,0)+IF(AND(F524=$P$6,M532&lt;=$R$6),$V$6,0)+IF(AND(F524=$P$7,M532&lt;=$R$7),$V$7,0))
)</f>
        <v/>
      </c>
      <c r="F532" s="153" t="s">
        <v>308</v>
      </c>
      <c r="G532" s="616"/>
      <c r="H532" s="617"/>
      <c r="I532" s="618"/>
      <c r="J532" s="616"/>
      <c r="K532" s="617"/>
      <c r="L532" s="618"/>
      <c r="M532" s="255"/>
      <c r="N532" s="256"/>
      <c r="O532" s="388"/>
      <c r="AA532" s="50"/>
      <c r="AD532" s="244"/>
      <c r="AE532" s="341" t="str">
        <f>IF(OR(AM532="",AM532=0,AJ532="",AG532=""),"",
(IF(AND(AF524=$P$4,AM532&lt;=$R$4),$V$4,0)+IF(AND(AF524=$P$5,AM532&lt;=$R$5),$V$5,0)+IF(AND(AF524=$P$6,AM532&lt;=$R$6),$V$6,0)+IF(AND(AF524=$P$7,AM532&lt;=$R$7),$V$7,0))
)</f>
        <v/>
      </c>
      <c r="AF532" s="153" t="s">
        <v>308</v>
      </c>
      <c r="AG532" s="598"/>
      <c r="AH532" s="599"/>
      <c r="AI532" s="600"/>
      <c r="AJ532" s="598"/>
      <c r="AK532" s="599"/>
      <c r="AL532" s="600"/>
      <c r="AM532" s="384"/>
      <c r="AN532" s="256"/>
      <c r="AO532" s="388"/>
    </row>
    <row r="533" spans="4:50" ht="15" customHeight="1" thickBot="1" x14ac:dyDescent="0.35">
      <c r="D533" s="203"/>
      <c r="E533" s="3"/>
      <c r="F533" s="3"/>
      <c r="G533" s="3"/>
      <c r="H533" s="3"/>
      <c r="I533" s="3"/>
      <c r="J533" s="3"/>
      <c r="K533" s="3"/>
      <c r="L533" s="3"/>
      <c r="M533" s="3"/>
      <c r="N533" s="204"/>
      <c r="P533" s="2"/>
      <c r="AA533" s="50"/>
      <c r="AD533" s="203"/>
      <c r="AE533" s="3"/>
      <c r="AF533" s="3"/>
      <c r="AG533" s="3"/>
      <c r="AH533" s="3"/>
      <c r="AI533" s="3"/>
      <c r="AJ533" s="3"/>
      <c r="AK533" s="3"/>
      <c r="AL533" s="3"/>
      <c r="AM533" s="3"/>
      <c r="AN533" s="204"/>
      <c r="AP533" s="2"/>
    </row>
    <row r="534" spans="4:50" ht="15" customHeight="1" x14ac:dyDescent="0.3">
      <c r="D534" s="601" t="str">
        <f>IF(
OR(
OR(F536=$P$4,F536=$P$5,F536=$P$6,F536=$P$7),AND(G538="",G539="",G540="",G541="",G542="",G543="",G544="",J538="",J539="",J540="",J541="",J542="",J543="",J544="",M538="",M539="",M540="",M541="",M542="",M543="",M544="",K535="",K536="")
),
"",
"A Set-Aside must be selected."
)</f>
        <v/>
      </c>
      <c r="E534" s="602"/>
      <c r="F534" s="602"/>
      <c r="G534" s="602"/>
      <c r="H534" s="602"/>
      <c r="I534" s="602"/>
      <c r="J534" s="602"/>
      <c r="K534" s="602"/>
      <c r="L534" s="602"/>
      <c r="M534" s="602"/>
      <c r="N534" s="603"/>
      <c r="O534" s="2"/>
      <c r="AA534" s="50"/>
      <c r="AD534" s="601" t="str">
        <f>IF(
OR(
OR(AF536=$P$4,AF536=$P$5,AF536=$P$6,AF536=$P$7),AND(AG538="",AG539="",AG540="",AG541="",AG542="",AG543="",AG544="",AJ538="",AJ539="",AJ540="",AJ541="",AJ542="",AJ543="",AJ544="",AM538="",AM539="",AM540="",AM541="",AM542="",AM543="",AM544="",AK535="",AK536="")
),
"",
"A Set-Aside must be selected."
)</f>
        <v/>
      </c>
      <c r="AE534" s="602"/>
      <c r="AF534" s="602"/>
      <c r="AG534" s="602"/>
      <c r="AH534" s="602"/>
      <c r="AI534" s="602"/>
      <c r="AJ534" s="602"/>
      <c r="AK534" s="602"/>
      <c r="AL534" s="602"/>
      <c r="AM534" s="602"/>
      <c r="AN534" s="603"/>
      <c r="AO534" s="2"/>
    </row>
    <row r="535" spans="4:50" ht="15" customHeight="1" x14ac:dyDescent="0.3">
      <c r="D535" s="199"/>
      <c r="E535" s="9" t="s">
        <v>30</v>
      </c>
      <c r="F535" s="86">
        <f>F523+1</f>
        <v>42</v>
      </c>
      <c r="G535" s="9" t="s">
        <v>175</v>
      </c>
      <c r="H535" s="9"/>
      <c r="I535" s="9"/>
      <c r="J535" s="168" t="s">
        <v>111</v>
      </c>
      <c r="K535" s="148"/>
      <c r="N535" s="200"/>
      <c r="R535" s="596" t="s">
        <v>302</v>
      </c>
      <c r="S535" s="596" t="s">
        <v>303</v>
      </c>
      <c r="T535" s="596" t="s">
        <v>304</v>
      </c>
      <c r="U535" s="596" t="s">
        <v>305</v>
      </c>
      <c r="V535" s="596" t="s">
        <v>306</v>
      </c>
      <c r="W535" s="596" t="s">
        <v>307</v>
      </c>
      <c r="X535" s="596" t="s">
        <v>308</v>
      </c>
      <c r="AA535" s="50"/>
      <c r="AD535" s="199"/>
      <c r="AE535" s="9" t="s">
        <v>30</v>
      </c>
      <c r="AF535" s="86">
        <f>AF523+1</f>
        <v>42</v>
      </c>
      <c r="AG535" s="9" t="s">
        <v>175</v>
      </c>
      <c r="AH535" s="9"/>
      <c r="AI535" s="9"/>
      <c r="AJ535" s="168" t="s">
        <v>111</v>
      </c>
      <c r="AK535" s="382"/>
      <c r="AN535" s="200"/>
      <c r="AR535" s="596" t="s">
        <v>302</v>
      </c>
      <c r="AS535" s="596" t="s">
        <v>303</v>
      </c>
      <c r="AT535" s="596" t="s">
        <v>304</v>
      </c>
      <c r="AU535" s="596" t="s">
        <v>305</v>
      </c>
      <c r="AV535" s="596" t="s">
        <v>306</v>
      </c>
      <c r="AW535" s="596" t="s">
        <v>307</v>
      </c>
      <c r="AX535" s="596" t="s">
        <v>308</v>
      </c>
    </row>
    <row r="536" spans="4:50" ht="15" customHeight="1" x14ac:dyDescent="0.3">
      <c r="D536" s="604" t="s">
        <v>31</v>
      </c>
      <c r="E536" s="594"/>
      <c r="F536" s="151"/>
      <c r="G536" s="86" t="str">
        <f>IF(F536=$P$4,$Q$4,IF(F536=$P$5,$Q$5,IF(F536=$P$6,$Q$6,IF(F536=$P$7,Q$7,IF(F536=$P$8,"","")))))</f>
        <v/>
      </c>
      <c r="H536" s="201"/>
      <c r="I536" s="201"/>
      <c r="J536" s="168" t="s">
        <v>112</v>
      </c>
      <c r="K536" s="148"/>
      <c r="N536" s="200"/>
      <c r="R536" s="596"/>
      <c r="S536" s="596"/>
      <c r="T536" s="596"/>
      <c r="U536" s="596"/>
      <c r="V536" s="596"/>
      <c r="W536" s="596"/>
      <c r="X536" s="596"/>
      <c r="AA536" s="50"/>
      <c r="AD536" s="604" t="s">
        <v>31</v>
      </c>
      <c r="AE536" s="594"/>
      <c r="AF536" s="383"/>
      <c r="AG536" s="86" t="str">
        <f>IF(AF536=$P$4,$Q$4,IF(AF536=$P$5,$Q$5,IF(AF536=$P$6,$Q$6,IF(AF536=$P$7,AQ$7,IF(AF536=$P$8,"","")))))</f>
        <v/>
      </c>
      <c r="AH536" s="201"/>
      <c r="AI536" s="201"/>
      <c r="AJ536" s="168" t="s">
        <v>112</v>
      </c>
      <c r="AK536" s="382"/>
      <c r="AN536" s="200"/>
      <c r="AR536" s="596"/>
      <c r="AS536" s="596"/>
      <c r="AT536" s="596"/>
      <c r="AU536" s="596"/>
      <c r="AV536" s="596"/>
      <c r="AW536" s="596"/>
      <c r="AX536" s="596"/>
    </row>
    <row r="537" spans="4:50" ht="15" customHeight="1" x14ac:dyDescent="0.3">
      <c r="D537" s="244"/>
      <c r="E537" s="230" t="s">
        <v>52</v>
      </c>
      <c r="F537" s="9" t="s">
        <v>32</v>
      </c>
      <c r="G537" s="9" t="s">
        <v>33</v>
      </c>
      <c r="H537" s="9"/>
      <c r="I537" s="9"/>
      <c r="J537" s="9" t="s">
        <v>34</v>
      </c>
      <c r="K537" s="9"/>
      <c r="L537" s="9"/>
      <c r="M537" s="257" t="s">
        <v>35</v>
      </c>
      <c r="N537" s="202"/>
      <c r="O537" s="9"/>
      <c r="P537" s="198" t="s">
        <v>22</v>
      </c>
      <c r="Q537" s="198"/>
      <c r="R537" s="596"/>
      <c r="S537" s="596"/>
      <c r="T537" s="596"/>
      <c r="U537" s="596"/>
      <c r="V537" s="596"/>
      <c r="W537" s="596"/>
      <c r="X537" s="596"/>
      <c r="AA537" s="50"/>
      <c r="AD537" s="244"/>
      <c r="AE537" s="230" t="s">
        <v>52</v>
      </c>
      <c r="AF537" s="9" t="s">
        <v>32</v>
      </c>
      <c r="AG537" s="9" t="s">
        <v>33</v>
      </c>
      <c r="AH537" s="9"/>
      <c r="AI537" s="9"/>
      <c r="AJ537" s="9" t="s">
        <v>34</v>
      </c>
      <c r="AK537" s="9"/>
      <c r="AL537" s="9"/>
      <c r="AM537" s="257" t="s">
        <v>35</v>
      </c>
      <c r="AN537" s="202"/>
      <c r="AO537" s="9"/>
      <c r="AP537" s="198" t="s">
        <v>22</v>
      </c>
      <c r="AQ537" s="198"/>
      <c r="AR537" s="596"/>
      <c r="AS537" s="596"/>
      <c r="AT537" s="596"/>
      <c r="AU537" s="596"/>
      <c r="AV537" s="596"/>
      <c r="AW537" s="596"/>
      <c r="AX537" s="596"/>
    </row>
    <row r="538" spans="4:50" x14ac:dyDescent="0.3">
      <c r="D538" s="244"/>
      <c r="E538" s="355" t="str">
        <f>IF(OR(M538="",M538=0,J538="",G538=""),"",
(IF(AND(F536=$P$4,M538&lt;=$R$4),$V$4,0)+IF(AND(F536=$P$5,M538&lt;=$R$5),$V$5,0)+IF(AND(F536=$P$6,M538&lt;=$R$6),$V$6,0)+IF(AND(F536=$P$7,M538&lt;=$R$7),$V$7,0))
)</f>
        <v/>
      </c>
      <c r="F538" s="153" t="s">
        <v>302</v>
      </c>
      <c r="G538" s="616"/>
      <c r="H538" s="617"/>
      <c r="I538" s="618"/>
      <c r="J538" s="616"/>
      <c r="K538" s="617"/>
      <c r="L538" s="618"/>
      <c r="M538" s="255"/>
      <c r="N538" s="256"/>
      <c r="O538" s="388"/>
      <c r="P538" s="185">
        <f t="shared" ref="P538" si="655">IF(F536="",0,1)</f>
        <v>0</v>
      </c>
      <c r="R538" s="185" t="str">
        <f t="shared" ref="R538" si="656">E538</f>
        <v/>
      </c>
      <c r="S538" s="185" t="str">
        <f t="shared" ref="S538" si="657">E539</f>
        <v/>
      </c>
      <c r="T538" s="185" t="str">
        <f t="shared" ref="T538" si="658">E540</f>
        <v/>
      </c>
      <c r="U538" s="185" t="str">
        <f t="shared" ref="U538" si="659">E541</f>
        <v/>
      </c>
      <c r="V538" s="185" t="str">
        <f t="shared" ref="V538" si="660">E542</f>
        <v/>
      </c>
      <c r="W538" s="185" t="str">
        <f t="shared" ref="W538" si="661">E543</f>
        <v/>
      </c>
      <c r="X538" s="185" t="str">
        <f t="shared" ref="X538" si="662">E544</f>
        <v/>
      </c>
      <c r="AA538" s="50"/>
      <c r="AD538" s="244"/>
      <c r="AE538" s="355" t="str">
        <f>IF(OR(AM538="",AM538=0,AJ538="",AG538=""),"",
(IF(AND(AF536=$P$4,AM538&lt;=$R$4),$V$4,0)+IF(AND(AF536=$P$5,AM538&lt;=$R$5),$V$5,0)+IF(AND(AF536=$P$6,AM538&lt;=$R$6),$V$6,0)+IF(AND(AF536=$P$7,AM538&lt;=$R$7),$V$7,0))
)</f>
        <v/>
      </c>
      <c r="AF538" s="153" t="s">
        <v>302</v>
      </c>
      <c r="AG538" s="598"/>
      <c r="AH538" s="599"/>
      <c r="AI538" s="600"/>
      <c r="AJ538" s="598"/>
      <c r="AK538" s="599"/>
      <c r="AL538" s="600"/>
      <c r="AM538" s="384"/>
      <c r="AN538" s="256"/>
      <c r="AO538" s="388"/>
      <c r="AP538" s="185">
        <f t="shared" ref="AP538" si="663">IF(AF536="",0,1)</f>
        <v>0</v>
      </c>
      <c r="AR538" s="185" t="str">
        <f t="shared" ref="AR538" si="664">AE538</f>
        <v/>
      </c>
      <c r="AS538" s="185" t="str">
        <f t="shared" ref="AS538" si="665">AE539</f>
        <v/>
      </c>
      <c r="AT538" s="185" t="str">
        <f t="shared" ref="AT538" si="666">AE540</f>
        <v/>
      </c>
      <c r="AU538" s="185" t="str">
        <f t="shared" ref="AU538" si="667">AE541</f>
        <v/>
      </c>
      <c r="AV538" s="185" t="str">
        <f t="shared" ref="AV538" si="668">AE542</f>
        <v/>
      </c>
      <c r="AW538" s="185" t="str">
        <f t="shared" ref="AW538" si="669">AE543</f>
        <v/>
      </c>
      <c r="AX538" s="185" t="str">
        <f t="shared" ref="AX538" si="670">AE544</f>
        <v/>
      </c>
    </row>
    <row r="539" spans="4:50" x14ac:dyDescent="0.3">
      <c r="D539" s="244"/>
      <c r="E539" s="341" t="str">
        <f>IF(OR(M539="",M539=0,J539="",G539=""),"",
(IF(AND(F536=$P$4,M539&lt;=$R$4),$V$4,0)+IF(AND(F536=$P$5,M539&lt;=$R$5),$V$5,0)+IF(AND(F536=$P$6,M539&lt;=$R$6),$V$6,0)+IF(AND(F536=$P$7,M539&lt;=$R$7),$V$7,0))
)</f>
        <v/>
      </c>
      <c r="F539" s="153" t="s">
        <v>303</v>
      </c>
      <c r="G539" s="616"/>
      <c r="H539" s="617"/>
      <c r="I539" s="618"/>
      <c r="J539" s="616"/>
      <c r="K539" s="617"/>
      <c r="L539" s="618"/>
      <c r="M539" s="255"/>
      <c r="N539" s="256"/>
      <c r="O539" s="388"/>
      <c r="AA539" s="50"/>
      <c r="AD539" s="244"/>
      <c r="AE539" s="341" t="str">
        <f>IF(OR(AM539="",AM539=0,AJ539="",AG539=""),"",
(IF(AND(AF536=$P$4,AM539&lt;=$R$4),$V$4,0)+IF(AND(AF536=$P$5,AM539&lt;=$R$5),$V$5,0)+IF(AND(AF536=$P$6,AM539&lt;=$R$6),$V$6,0)+IF(AND(AF536=$P$7,AM539&lt;=$R$7),$V$7,0))
)</f>
        <v/>
      </c>
      <c r="AF539" s="153" t="s">
        <v>303</v>
      </c>
      <c r="AG539" s="598"/>
      <c r="AH539" s="599"/>
      <c r="AI539" s="600"/>
      <c r="AJ539" s="598"/>
      <c r="AK539" s="599"/>
      <c r="AL539" s="600"/>
      <c r="AM539" s="384"/>
      <c r="AN539" s="256"/>
      <c r="AO539" s="388"/>
    </row>
    <row r="540" spans="4:50" x14ac:dyDescent="0.3">
      <c r="D540" s="244"/>
      <c r="E540" s="341" t="str">
        <f>IF(OR(M540="",M540=0,J540="",G540=""),"",
(IF(AND(F536=$P$4,M540&lt;=$R$4),$V$4,0)+IF(AND(F536=$P$5,M540&lt;=$R$5),$V$5,0)+IF(AND(F536=$P$6,M540&lt;=$R$6),$V$6,0)+IF(AND(F536=$P$7,M540&lt;=$R$7),$V$7,0))
)</f>
        <v/>
      </c>
      <c r="F540" s="153" t="s">
        <v>304</v>
      </c>
      <c r="G540" s="616"/>
      <c r="H540" s="617"/>
      <c r="I540" s="618"/>
      <c r="J540" s="616"/>
      <c r="K540" s="617"/>
      <c r="L540" s="618"/>
      <c r="M540" s="255"/>
      <c r="N540" s="256"/>
      <c r="O540" s="388"/>
      <c r="AA540" s="50"/>
      <c r="AD540" s="244"/>
      <c r="AE540" s="341" t="str">
        <f>IF(OR(AM540="",AM540=0,AJ540="",AG540=""),"",
(IF(AND(AF536=$P$4,AM540&lt;=$R$4),$V$4,0)+IF(AND(AF536=$P$5,AM540&lt;=$R$5),$V$5,0)+IF(AND(AF536=$P$6,AM540&lt;=$R$6),$V$6,0)+IF(AND(AF536=$P$7,AM540&lt;=$R$7),$V$7,0))
)</f>
        <v/>
      </c>
      <c r="AF540" s="153" t="s">
        <v>304</v>
      </c>
      <c r="AG540" s="598"/>
      <c r="AH540" s="599"/>
      <c r="AI540" s="600"/>
      <c r="AJ540" s="598"/>
      <c r="AK540" s="599"/>
      <c r="AL540" s="600"/>
      <c r="AM540" s="384"/>
      <c r="AN540" s="256"/>
      <c r="AO540" s="388"/>
    </row>
    <row r="541" spans="4:50" x14ac:dyDescent="0.3">
      <c r="D541" s="244"/>
      <c r="E541" s="341" t="str">
        <f>IF(OR(M541="",M541=0,J541="",G541=""),"",
(IF(AND(F536=$P$4,M541&lt;=$R$4),$V$4,0)+IF(AND(F536=$P$5,M541&lt;=$R$5),$V$5,0)+IF(AND(F536=$P$6,M541&lt;=$R$6),$V$6,0)+IF(AND(F536=$P$7,M541&lt;=$R$7),$V$7,0))
)</f>
        <v/>
      </c>
      <c r="F541" s="153" t="s">
        <v>305</v>
      </c>
      <c r="G541" s="616"/>
      <c r="H541" s="617"/>
      <c r="I541" s="618"/>
      <c r="J541" s="616"/>
      <c r="K541" s="617"/>
      <c r="L541" s="618"/>
      <c r="M541" s="255"/>
      <c r="N541" s="256"/>
      <c r="O541" s="388"/>
      <c r="AA541" s="50"/>
      <c r="AD541" s="244"/>
      <c r="AE541" s="341" t="str">
        <f>IF(OR(AM541="",AM541=0,AJ541="",AG541=""),"",
(IF(AND(AF536=$P$4,AM541&lt;=$R$4),$V$4,0)+IF(AND(AF536=$P$5,AM541&lt;=$R$5),$V$5,0)+IF(AND(AF536=$P$6,AM541&lt;=$R$6),$V$6,0)+IF(AND(AF536=$P$7,AM541&lt;=$R$7),$V$7,0))
)</f>
        <v/>
      </c>
      <c r="AF541" s="153" t="s">
        <v>305</v>
      </c>
      <c r="AG541" s="598"/>
      <c r="AH541" s="599"/>
      <c r="AI541" s="600"/>
      <c r="AJ541" s="598"/>
      <c r="AK541" s="599"/>
      <c r="AL541" s="600"/>
      <c r="AM541" s="384"/>
      <c r="AN541" s="256"/>
      <c r="AO541" s="388"/>
    </row>
    <row r="542" spans="4:50" x14ac:dyDescent="0.3">
      <c r="D542" s="244"/>
      <c r="E542" s="341" t="str">
        <f>IF(OR(M542="",M542=0,J542="",G542=""),"",
(IF(AND(F536=$P$4,M542&lt;=$R$4),$V$4,0)+IF(AND(F536=$P$5,M542&lt;=$R$5),$V$5,0)+IF(AND(F536=$P$6,M542&lt;=$R$6),$V$6,0)+IF(AND(F536=$P$7,M542&lt;=$R$7),$V$7,0))
)</f>
        <v/>
      </c>
      <c r="F542" s="153" t="s">
        <v>306</v>
      </c>
      <c r="G542" s="616"/>
      <c r="H542" s="617"/>
      <c r="I542" s="618"/>
      <c r="J542" s="616"/>
      <c r="K542" s="617"/>
      <c r="L542" s="618"/>
      <c r="M542" s="255"/>
      <c r="N542" s="256"/>
      <c r="O542" s="388"/>
      <c r="AA542" s="50"/>
      <c r="AD542" s="244"/>
      <c r="AE542" s="341" t="str">
        <f>IF(OR(AM542="",AM542=0,AJ542="",AG542=""),"",
(IF(AND(AF536=$P$4,AM542&lt;=$R$4),$V$4,0)+IF(AND(AF536=$P$5,AM542&lt;=$R$5),$V$5,0)+IF(AND(AF536=$P$6,AM542&lt;=$R$6),$V$6,0)+IF(AND(AF536=$P$7,AM542&lt;=$R$7),$V$7,0))
)</f>
        <v/>
      </c>
      <c r="AF542" s="153" t="s">
        <v>306</v>
      </c>
      <c r="AG542" s="598"/>
      <c r="AH542" s="599"/>
      <c r="AI542" s="600"/>
      <c r="AJ542" s="598"/>
      <c r="AK542" s="599"/>
      <c r="AL542" s="600"/>
      <c r="AM542" s="384"/>
      <c r="AN542" s="256"/>
      <c r="AO542" s="388"/>
    </row>
    <row r="543" spans="4:50" ht="15" customHeight="1" x14ac:dyDescent="0.3">
      <c r="D543" s="244"/>
      <c r="E543" s="341" t="str">
        <f>IF(OR(M543="",M543=0,J543="",G543=""),"",
(IF(AND(F536=$P$4,M543&lt;=$R$4),$V$4,0)+IF(AND(F536=$P$5,M543&lt;=$R$5),$V$5,0)+IF(AND(F536=$P$6,M543&lt;=$R$6),$V$6,0)+IF(AND(F536=$P$7,M543&lt;=$R$7),$V$7,0))
)</f>
        <v/>
      </c>
      <c r="F543" s="153" t="s">
        <v>307</v>
      </c>
      <c r="G543" s="616"/>
      <c r="H543" s="617"/>
      <c r="I543" s="618"/>
      <c r="J543" s="616"/>
      <c r="K543" s="617"/>
      <c r="L543" s="618"/>
      <c r="M543" s="255"/>
      <c r="N543" s="256"/>
      <c r="O543" s="388"/>
      <c r="AA543" s="50"/>
      <c r="AD543" s="244"/>
      <c r="AE543" s="341" t="str">
        <f>IF(OR(AM543="",AM543=0,AJ543="",AG543=""),"",
(IF(AND(AF536=$P$4,AM543&lt;=$R$4),$V$4,0)+IF(AND(AF536=$P$5,AM543&lt;=$R$5),$V$5,0)+IF(AND(AF536=$P$6,AM543&lt;=$R$6),$V$6,0)+IF(AND(AF536=$P$7,AM543&lt;=$R$7),$V$7,0))
)</f>
        <v/>
      </c>
      <c r="AF543" s="153" t="s">
        <v>307</v>
      </c>
      <c r="AG543" s="598"/>
      <c r="AH543" s="599"/>
      <c r="AI543" s="600"/>
      <c r="AJ543" s="598"/>
      <c r="AK543" s="599"/>
      <c r="AL543" s="600"/>
      <c r="AM543" s="384"/>
      <c r="AN543" s="256"/>
      <c r="AO543" s="388"/>
    </row>
    <row r="544" spans="4:50" ht="15" customHeight="1" x14ac:dyDescent="0.3">
      <c r="D544" s="244"/>
      <c r="E544" s="341" t="str">
        <f>IF(OR(M544="",M544=0,J544="",G544=""),"",
(IF(AND(F536=$P$4,M544&lt;=$R$4),$V$4,0)+IF(AND(F536=$P$5,M544&lt;=$R$5),$V$5,0)+IF(AND(F536=$P$6,M544&lt;=$R$6),$V$6,0)+IF(AND(F536=$P$7,M544&lt;=$R$7),$V$7,0))
)</f>
        <v/>
      </c>
      <c r="F544" s="153" t="s">
        <v>308</v>
      </c>
      <c r="G544" s="616"/>
      <c r="H544" s="617"/>
      <c r="I544" s="618"/>
      <c r="J544" s="616"/>
      <c r="K544" s="617"/>
      <c r="L544" s="618"/>
      <c r="M544" s="255"/>
      <c r="N544" s="256"/>
      <c r="O544" s="388"/>
      <c r="AA544" s="50"/>
      <c r="AD544" s="244"/>
      <c r="AE544" s="341" t="str">
        <f>IF(OR(AM544="",AM544=0,AJ544="",AG544=""),"",
(IF(AND(AF536=$P$4,AM544&lt;=$R$4),$V$4,0)+IF(AND(AF536=$P$5,AM544&lt;=$R$5),$V$5,0)+IF(AND(AF536=$P$6,AM544&lt;=$R$6),$V$6,0)+IF(AND(AF536=$P$7,AM544&lt;=$R$7),$V$7,0))
)</f>
        <v/>
      </c>
      <c r="AF544" s="153" t="s">
        <v>308</v>
      </c>
      <c r="AG544" s="598"/>
      <c r="AH544" s="599"/>
      <c r="AI544" s="600"/>
      <c r="AJ544" s="598"/>
      <c r="AK544" s="599"/>
      <c r="AL544" s="600"/>
      <c r="AM544" s="384"/>
      <c r="AN544" s="256"/>
      <c r="AO544" s="388"/>
    </row>
    <row r="545" spans="4:50" ht="15" customHeight="1" thickBot="1" x14ac:dyDescent="0.35">
      <c r="D545" s="203"/>
      <c r="E545" s="3"/>
      <c r="F545" s="3"/>
      <c r="G545" s="3"/>
      <c r="H545" s="3"/>
      <c r="I545" s="3"/>
      <c r="J545" s="3"/>
      <c r="K545" s="3"/>
      <c r="L545" s="3"/>
      <c r="M545" s="3"/>
      <c r="N545" s="204"/>
      <c r="P545" s="2"/>
      <c r="AA545" s="50"/>
      <c r="AD545" s="203"/>
      <c r="AE545" s="3"/>
      <c r="AF545" s="3"/>
      <c r="AG545" s="3"/>
      <c r="AH545" s="3"/>
      <c r="AI545" s="3"/>
      <c r="AJ545" s="3"/>
      <c r="AK545" s="3"/>
      <c r="AL545" s="3"/>
      <c r="AM545" s="3"/>
      <c r="AN545" s="204"/>
      <c r="AP545" s="2"/>
    </row>
    <row r="546" spans="4:50" ht="15" customHeight="1" x14ac:dyDescent="0.3">
      <c r="D546" s="601" t="str">
        <f>IF(
OR(
OR(F548=$P$4,F548=$P$5,F548=$P$6,F548=$P$7),AND(G550="",G551="",G552="",G553="",G554="",G555="",G556="",J550="",J551="",J552="",J553="",J554="",J555="",J556="",M550="",M551="",M552="",M553="",M554="",M555="",M556="",K547="",K548="")
),
"",
"A Set-Aside must be selected."
)</f>
        <v/>
      </c>
      <c r="E546" s="602"/>
      <c r="F546" s="602"/>
      <c r="G546" s="602"/>
      <c r="H546" s="602"/>
      <c r="I546" s="602"/>
      <c r="J546" s="602"/>
      <c r="K546" s="602"/>
      <c r="L546" s="602"/>
      <c r="M546" s="602"/>
      <c r="N546" s="603"/>
      <c r="O546" s="2"/>
      <c r="AA546" s="50"/>
      <c r="AD546" s="601" t="str">
        <f>IF(
OR(
OR(AF548=$P$4,AF548=$P$5,AF548=$P$6,AF548=$P$7),AND(AG550="",AG551="",AG552="",AG553="",AG554="",AG555="",AG556="",AJ550="",AJ551="",AJ552="",AJ553="",AJ554="",AJ555="",AJ556="",AM550="",AM551="",AM552="",AM553="",AM554="",AM555="",AM556="",AK547="",AK548="")
),
"",
"A Set-Aside must be selected."
)</f>
        <v/>
      </c>
      <c r="AE546" s="602"/>
      <c r="AF546" s="602"/>
      <c r="AG546" s="602"/>
      <c r="AH546" s="602"/>
      <c r="AI546" s="602"/>
      <c r="AJ546" s="602"/>
      <c r="AK546" s="602"/>
      <c r="AL546" s="602"/>
      <c r="AM546" s="602"/>
      <c r="AN546" s="603"/>
      <c r="AO546" s="2"/>
    </row>
    <row r="547" spans="4:50" ht="15" customHeight="1" x14ac:dyDescent="0.3">
      <c r="D547" s="199"/>
      <c r="E547" s="9" t="s">
        <v>30</v>
      </c>
      <c r="F547" s="86">
        <f>F535+1</f>
        <v>43</v>
      </c>
      <c r="G547" s="9" t="s">
        <v>175</v>
      </c>
      <c r="H547" s="9"/>
      <c r="I547" s="9"/>
      <c r="J547" s="168" t="s">
        <v>111</v>
      </c>
      <c r="K547" s="148"/>
      <c r="N547" s="200"/>
      <c r="R547" s="596" t="s">
        <v>302</v>
      </c>
      <c r="S547" s="596" t="s">
        <v>303</v>
      </c>
      <c r="T547" s="596" t="s">
        <v>304</v>
      </c>
      <c r="U547" s="596" t="s">
        <v>305</v>
      </c>
      <c r="V547" s="596" t="s">
        <v>306</v>
      </c>
      <c r="W547" s="596" t="s">
        <v>307</v>
      </c>
      <c r="X547" s="596" t="s">
        <v>308</v>
      </c>
      <c r="AA547" s="50"/>
      <c r="AD547" s="199"/>
      <c r="AE547" s="9" t="s">
        <v>30</v>
      </c>
      <c r="AF547" s="86">
        <f>AF535+1</f>
        <v>43</v>
      </c>
      <c r="AG547" s="9" t="s">
        <v>175</v>
      </c>
      <c r="AH547" s="9"/>
      <c r="AI547" s="9"/>
      <c r="AJ547" s="168" t="s">
        <v>111</v>
      </c>
      <c r="AK547" s="382"/>
      <c r="AN547" s="200"/>
      <c r="AR547" s="596" t="s">
        <v>302</v>
      </c>
      <c r="AS547" s="596" t="s">
        <v>303</v>
      </c>
      <c r="AT547" s="596" t="s">
        <v>304</v>
      </c>
      <c r="AU547" s="596" t="s">
        <v>305</v>
      </c>
      <c r="AV547" s="596" t="s">
        <v>306</v>
      </c>
      <c r="AW547" s="596" t="s">
        <v>307</v>
      </c>
      <c r="AX547" s="596" t="s">
        <v>308</v>
      </c>
    </row>
    <row r="548" spans="4:50" x14ac:dyDescent="0.3">
      <c r="D548" s="604" t="s">
        <v>31</v>
      </c>
      <c r="E548" s="594"/>
      <c r="F548" s="151"/>
      <c r="G548" s="86" t="str">
        <f>IF(F548=$P$4,$Q$4,IF(F548=$P$5,$Q$5,IF(F548=$P$6,$Q$6,IF(F548=$P$7,Q$7,IF(F548=$P$8,"","")))))</f>
        <v/>
      </c>
      <c r="H548" s="201"/>
      <c r="I548" s="201"/>
      <c r="J548" s="168" t="s">
        <v>112</v>
      </c>
      <c r="K548" s="148"/>
      <c r="N548" s="200"/>
      <c r="R548" s="596"/>
      <c r="S548" s="596"/>
      <c r="T548" s="596"/>
      <c r="U548" s="596"/>
      <c r="V548" s="596"/>
      <c r="W548" s="596"/>
      <c r="X548" s="596"/>
      <c r="AA548" s="50"/>
      <c r="AD548" s="604" t="s">
        <v>31</v>
      </c>
      <c r="AE548" s="594"/>
      <c r="AF548" s="383"/>
      <c r="AG548" s="86" t="str">
        <f>IF(AF548=$P$4,$Q$4,IF(AF548=$P$5,$Q$5,IF(AF548=$P$6,$Q$6,IF(AF548=$P$7,AQ$7,IF(AF548=$P$8,"","")))))</f>
        <v/>
      </c>
      <c r="AH548" s="201"/>
      <c r="AI548" s="201"/>
      <c r="AJ548" s="168" t="s">
        <v>112</v>
      </c>
      <c r="AK548" s="382"/>
      <c r="AN548" s="200"/>
      <c r="AR548" s="596"/>
      <c r="AS548" s="596"/>
      <c r="AT548" s="596"/>
      <c r="AU548" s="596"/>
      <c r="AV548" s="596"/>
      <c r="AW548" s="596"/>
      <c r="AX548" s="596"/>
    </row>
    <row r="549" spans="4:50" x14ac:dyDescent="0.3">
      <c r="D549" s="244"/>
      <c r="E549" s="230" t="s">
        <v>52</v>
      </c>
      <c r="F549" s="9" t="s">
        <v>32</v>
      </c>
      <c r="G549" s="9" t="s">
        <v>33</v>
      </c>
      <c r="H549" s="9"/>
      <c r="I549" s="9"/>
      <c r="J549" s="9" t="s">
        <v>34</v>
      </c>
      <c r="K549" s="9"/>
      <c r="L549" s="9"/>
      <c r="M549" s="257" t="s">
        <v>35</v>
      </c>
      <c r="N549" s="202"/>
      <c r="O549" s="9"/>
      <c r="P549" s="198" t="s">
        <v>22</v>
      </c>
      <c r="Q549" s="198"/>
      <c r="R549" s="596"/>
      <c r="S549" s="596"/>
      <c r="T549" s="596"/>
      <c r="U549" s="596"/>
      <c r="V549" s="596"/>
      <c r="W549" s="596"/>
      <c r="X549" s="596"/>
      <c r="AA549" s="50"/>
      <c r="AD549" s="244"/>
      <c r="AE549" s="230" t="s">
        <v>52</v>
      </c>
      <c r="AF549" s="9" t="s">
        <v>32</v>
      </c>
      <c r="AG549" s="9" t="s">
        <v>33</v>
      </c>
      <c r="AH549" s="9"/>
      <c r="AI549" s="9"/>
      <c r="AJ549" s="9" t="s">
        <v>34</v>
      </c>
      <c r="AK549" s="9"/>
      <c r="AL549" s="9"/>
      <c r="AM549" s="257" t="s">
        <v>35</v>
      </c>
      <c r="AN549" s="202"/>
      <c r="AO549" s="9"/>
      <c r="AP549" s="198" t="s">
        <v>22</v>
      </c>
      <c r="AQ549" s="198"/>
      <c r="AR549" s="596"/>
      <c r="AS549" s="596"/>
      <c r="AT549" s="596"/>
      <c r="AU549" s="596"/>
      <c r="AV549" s="596"/>
      <c r="AW549" s="596"/>
      <c r="AX549" s="596"/>
    </row>
    <row r="550" spans="4:50" x14ac:dyDescent="0.3">
      <c r="D550" s="244"/>
      <c r="E550" s="355" t="str">
        <f>IF(OR(M550="",M550=0,J550="",G550=""),"",
(IF(AND(F548=$P$4,M550&lt;=$R$4),$V$4,0)+IF(AND(F548=$P$5,M550&lt;=$R$5),$V$5,0)+IF(AND(F548=$P$6,M550&lt;=$R$6),$V$6,0)+IF(AND(F548=$P$7,M550&lt;=$R$7),$V$7,0))
)</f>
        <v/>
      </c>
      <c r="F550" s="153" t="s">
        <v>302</v>
      </c>
      <c r="G550" s="616"/>
      <c r="H550" s="617"/>
      <c r="I550" s="618"/>
      <c r="J550" s="616"/>
      <c r="K550" s="617"/>
      <c r="L550" s="618"/>
      <c r="M550" s="255"/>
      <c r="N550" s="256"/>
      <c r="O550" s="388"/>
      <c r="P550" s="185">
        <f t="shared" ref="P550" si="671">IF(F548="",0,1)</f>
        <v>0</v>
      </c>
      <c r="R550" s="185" t="str">
        <f t="shared" ref="R550" si="672">E550</f>
        <v/>
      </c>
      <c r="S550" s="185" t="str">
        <f t="shared" ref="S550" si="673">E551</f>
        <v/>
      </c>
      <c r="T550" s="185" t="str">
        <f t="shared" ref="T550" si="674">E552</f>
        <v/>
      </c>
      <c r="U550" s="185" t="str">
        <f t="shared" ref="U550" si="675">E553</f>
        <v/>
      </c>
      <c r="V550" s="185" t="str">
        <f t="shared" ref="V550" si="676">E554</f>
        <v/>
      </c>
      <c r="W550" s="185" t="str">
        <f t="shared" ref="W550" si="677">E555</f>
        <v/>
      </c>
      <c r="X550" s="185" t="str">
        <f t="shared" ref="X550" si="678">E556</f>
        <v/>
      </c>
      <c r="AA550" s="50"/>
      <c r="AD550" s="244"/>
      <c r="AE550" s="355" t="str">
        <f>IF(OR(AM550="",AM550=0,AJ550="",AG550=""),"",
(IF(AND(AF548=$P$4,AM550&lt;=$R$4),$V$4,0)+IF(AND(AF548=$P$5,AM550&lt;=$R$5),$V$5,0)+IF(AND(AF548=$P$6,AM550&lt;=$R$6),$V$6,0)+IF(AND(AF548=$P$7,AM550&lt;=$R$7),$V$7,0))
)</f>
        <v/>
      </c>
      <c r="AF550" s="153" t="s">
        <v>302</v>
      </c>
      <c r="AG550" s="598"/>
      <c r="AH550" s="599"/>
      <c r="AI550" s="600"/>
      <c r="AJ550" s="598"/>
      <c r="AK550" s="599"/>
      <c r="AL550" s="600"/>
      <c r="AM550" s="384"/>
      <c r="AN550" s="256"/>
      <c r="AO550" s="388"/>
      <c r="AP550" s="185">
        <f t="shared" ref="AP550" si="679">IF(AF548="",0,1)</f>
        <v>0</v>
      </c>
      <c r="AR550" s="185" t="str">
        <f t="shared" ref="AR550" si="680">AE550</f>
        <v/>
      </c>
      <c r="AS550" s="185" t="str">
        <f t="shared" ref="AS550" si="681">AE551</f>
        <v/>
      </c>
      <c r="AT550" s="185" t="str">
        <f t="shared" ref="AT550" si="682">AE552</f>
        <v/>
      </c>
      <c r="AU550" s="185" t="str">
        <f t="shared" ref="AU550" si="683">AE553</f>
        <v/>
      </c>
      <c r="AV550" s="185" t="str">
        <f t="shared" ref="AV550" si="684">AE554</f>
        <v/>
      </c>
      <c r="AW550" s="185" t="str">
        <f t="shared" ref="AW550" si="685">AE555</f>
        <v/>
      </c>
      <c r="AX550" s="185" t="str">
        <f t="shared" ref="AX550" si="686">AE556</f>
        <v/>
      </c>
    </row>
    <row r="551" spans="4:50" x14ac:dyDescent="0.3">
      <c r="D551" s="244"/>
      <c r="E551" s="341" t="str">
        <f>IF(OR(M551="",M551=0,J551="",G551=""),"",
(IF(AND(F548=$P$4,M551&lt;=$R$4),$V$4,0)+IF(AND(F548=$P$5,M551&lt;=$R$5),$V$5,0)+IF(AND(F548=$P$6,M551&lt;=$R$6),$V$6,0)+IF(AND(F548=$P$7,M551&lt;=$R$7),$V$7,0))
)</f>
        <v/>
      </c>
      <c r="F551" s="153" t="s">
        <v>303</v>
      </c>
      <c r="G551" s="616"/>
      <c r="H551" s="617"/>
      <c r="I551" s="618"/>
      <c r="J551" s="616"/>
      <c r="K551" s="617"/>
      <c r="L551" s="618"/>
      <c r="M551" s="255"/>
      <c r="N551" s="256"/>
      <c r="O551" s="388"/>
      <c r="AA551" s="50"/>
      <c r="AD551" s="244"/>
      <c r="AE551" s="341" t="str">
        <f>IF(OR(AM551="",AM551=0,AJ551="",AG551=""),"",
(IF(AND(AF548=$P$4,AM551&lt;=$R$4),$V$4,0)+IF(AND(AF548=$P$5,AM551&lt;=$R$5),$V$5,0)+IF(AND(AF548=$P$6,AM551&lt;=$R$6),$V$6,0)+IF(AND(AF548=$P$7,AM551&lt;=$R$7),$V$7,0))
)</f>
        <v/>
      </c>
      <c r="AF551" s="153" t="s">
        <v>303</v>
      </c>
      <c r="AG551" s="598"/>
      <c r="AH551" s="599"/>
      <c r="AI551" s="600"/>
      <c r="AJ551" s="598"/>
      <c r="AK551" s="599"/>
      <c r="AL551" s="600"/>
      <c r="AM551" s="384"/>
      <c r="AN551" s="256"/>
      <c r="AO551" s="388"/>
    </row>
    <row r="552" spans="4:50" x14ac:dyDescent="0.3">
      <c r="D552" s="244"/>
      <c r="E552" s="341" t="str">
        <f>IF(OR(M552="",M552=0,J552="",G552=""),"",
(IF(AND(F548=$P$4,M552&lt;=$R$4),$V$4,0)+IF(AND(F548=$P$5,M552&lt;=$R$5),$V$5,0)+IF(AND(F548=$P$6,M552&lt;=$R$6),$V$6,0)+IF(AND(F548=$P$7,M552&lt;=$R$7),$V$7,0))
)</f>
        <v/>
      </c>
      <c r="F552" s="153" t="s">
        <v>304</v>
      </c>
      <c r="G552" s="616"/>
      <c r="H552" s="617"/>
      <c r="I552" s="618"/>
      <c r="J552" s="616"/>
      <c r="K552" s="617"/>
      <c r="L552" s="618"/>
      <c r="M552" s="255"/>
      <c r="N552" s="256"/>
      <c r="O552" s="388"/>
      <c r="AA552" s="50"/>
      <c r="AD552" s="244"/>
      <c r="AE552" s="341" t="str">
        <f>IF(OR(AM552="",AM552=0,AJ552="",AG552=""),"",
(IF(AND(AF548=$P$4,AM552&lt;=$R$4),$V$4,0)+IF(AND(AF548=$P$5,AM552&lt;=$R$5),$V$5,0)+IF(AND(AF548=$P$6,AM552&lt;=$R$6),$V$6,0)+IF(AND(AF548=$P$7,AM552&lt;=$R$7),$V$7,0))
)</f>
        <v/>
      </c>
      <c r="AF552" s="153" t="s">
        <v>304</v>
      </c>
      <c r="AG552" s="598"/>
      <c r="AH552" s="599"/>
      <c r="AI552" s="600"/>
      <c r="AJ552" s="598"/>
      <c r="AK552" s="599"/>
      <c r="AL552" s="600"/>
      <c r="AM552" s="384"/>
      <c r="AN552" s="256"/>
      <c r="AO552" s="388"/>
    </row>
    <row r="553" spans="4:50" ht="15" customHeight="1" x14ac:dyDescent="0.3">
      <c r="D553" s="244"/>
      <c r="E553" s="341" t="str">
        <f>IF(OR(M553="",M553=0,J553="",G553=""),"",
(IF(AND(F548=$P$4,M553&lt;=$R$4),$V$4,0)+IF(AND(F548=$P$5,M553&lt;=$R$5),$V$5,0)+IF(AND(F548=$P$6,M553&lt;=$R$6),$V$6,0)+IF(AND(F548=$P$7,M553&lt;=$R$7),$V$7,0))
)</f>
        <v/>
      </c>
      <c r="F553" s="153" t="s">
        <v>305</v>
      </c>
      <c r="G553" s="616"/>
      <c r="H553" s="617"/>
      <c r="I553" s="618"/>
      <c r="J553" s="616"/>
      <c r="K553" s="617"/>
      <c r="L553" s="618"/>
      <c r="M553" s="255"/>
      <c r="N553" s="256"/>
      <c r="O553" s="388"/>
      <c r="AA553" s="50"/>
      <c r="AD553" s="244"/>
      <c r="AE553" s="341" t="str">
        <f>IF(OR(AM553="",AM553=0,AJ553="",AG553=""),"",
(IF(AND(AF548=$P$4,AM553&lt;=$R$4),$V$4,0)+IF(AND(AF548=$P$5,AM553&lt;=$R$5),$V$5,0)+IF(AND(AF548=$P$6,AM553&lt;=$R$6),$V$6,0)+IF(AND(AF548=$P$7,AM553&lt;=$R$7),$V$7,0))
)</f>
        <v/>
      </c>
      <c r="AF553" s="153" t="s">
        <v>305</v>
      </c>
      <c r="AG553" s="598"/>
      <c r="AH553" s="599"/>
      <c r="AI553" s="600"/>
      <c r="AJ553" s="598"/>
      <c r="AK553" s="599"/>
      <c r="AL553" s="600"/>
      <c r="AM553" s="384"/>
      <c r="AN553" s="256"/>
      <c r="AO553" s="388"/>
    </row>
    <row r="554" spans="4:50" ht="15" customHeight="1" x14ac:dyDescent="0.3">
      <c r="D554" s="244"/>
      <c r="E554" s="341" t="str">
        <f>IF(OR(M554="",M554=0,J554="",G554=""),"",
(IF(AND(F548=$P$4,M554&lt;=$R$4),$V$4,0)+IF(AND(F548=$P$5,M554&lt;=$R$5),$V$5,0)+IF(AND(F548=$P$6,M554&lt;=$R$6),$V$6,0)+IF(AND(F548=$P$7,M554&lt;=$R$7),$V$7,0))
)</f>
        <v/>
      </c>
      <c r="F554" s="153" t="s">
        <v>306</v>
      </c>
      <c r="G554" s="616"/>
      <c r="H554" s="617"/>
      <c r="I554" s="618"/>
      <c r="J554" s="616"/>
      <c r="K554" s="617"/>
      <c r="L554" s="618"/>
      <c r="M554" s="255"/>
      <c r="N554" s="256"/>
      <c r="O554" s="388"/>
      <c r="AA554" s="50"/>
      <c r="AD554" s="244"/>
      <c r="AE554" s="341" t="str">
        <f>IF(OR(AM554="",AM554=0,AJ554="",AG554=""),"",
(IF(AND(AF548=$P$4,AM554&lt;=$R$4),$V$4,0)+IF(AND(AF548=$P$5,AM554&lt;=$R$5),$V$5,0)+IF(AND(AF548=$P$6,AM554&lt;=$R$6),$V$6,0)+IF(AND(AF548=$P$7,AM554&lt;=$R$7),$V$7,0))
)</f>
        <v/>
      </c>
      <c r="AF554" s="153" t="s">
        <v>306</v>
      </c>
      <c r="AG554" s="598"/>
      <c r="AH554" s="599"/>
      <c r="AI554" s="600"/>
      <c r="AJ554" s="598"/>
      <c r="AK554" s="599"/>
      <c r="AL554" s="600"/>
      <c r="AM554" s="384"/>
      <c r="AN554" s="256"/>
      <c r="AO554" s="388"/>
    </row>
    <row r="555" spans="4:50" ht="15" customHeight="1" x14ac:dyDescent="0.3">
      <c r="D555" s="244"/>
      <c r="E555" s="341" t="str">
        <f>IF(OR(M555="",M555=0,J555="",G555=""),"",
(IF(AND(F548=$P$4,M555&lt;=$R$4),$V$4,0)+IF(AND(F548=$P$5,M555&lt;=$R$5),$V$5,0)+IF(AND(F548=$P$6,M555&lt;=$R$6),$V$6,0)+IF(AND(F548=$P$7,M555&lt;=$R$7),$V$7,0))
)</f>
        <v/>
      </c>
      <c r="F555" s="153" t="s">
        <v>307</v>
      </c>
      <c r="G555" s="616"/>
      <c r="H555" s="617"/>
      <c r="I555" s="618"/>
      <c r="J555" s="616"/>
      <c r="K555" s="617"/>
      <c r="L555" s="618"/>
      <c r="M555" s="255"/>
      <c r="N555" s="256"/>
      <c r="O555" s="388"/>
      <c r="AA555" s="50"/>
      <c r="AD555" s="244"/>
      <c r="AE555" s="341" t="str">
        <f>IF(OR(AM555="",AM555=0,AJ555="",AG555=""),"",
(IF(AND(AF548=$P$4,AM555&lt;=$R$4),$V$4,0)+IF(AND(AF548=$P$5,AM555&lt;=$R$5),$V$5,0)+IF(AND(AF548=$P$6,AM555&lt;=$R$6),$V$6,0)+IF(AND(AF548=$P$7,AM555&lt;=$R$7),$V$7,0))
)</f>
        <v/>
      </c>
      <c r="AF555" s="153" t="s">
        <v>307</v>
      </c>
      <c r="AG555" s="598"/>
      <c r="AH555" s="599"/>
      <c r="AI555" s="600"/>
      <c r="AJ555" s="598"/>
      <c r="AK555" s="599"/>
      <c r="AL555" s="600"/>
      <c r="AM555" s="384"/>
      <c r="AN555" s="256"/>
      <c r="AO555" s="388"/>
    </row>
    <row r="556" spans="4:50" ht="15" customHeight="1" x14ac:dyDescent="0.3">
      <c r="D556" s="244"/>
      <c r="E556" s="341" t="str">
        <f>IF(OR(M556="",M556=0,J556="",G556=""),"",
(IF(AND(F548=$P$4,M556&lt;=$R$4),$V$4,0)+IF(AND(F548=$P$5,M556&lt;=$R$5),$V$5,0)+IF(AND(F548=$P$6,M556&lt;=$R$6),$V$6,0)+IF(AND(F548=$P$7,M556&lt;=$R$7),$V$7,0))
)</f>
        <v/>
      </c>
      <c r="F556" s="153" t="s">
        <v>308</v>
      </c>
      <c r="G556" s="616"/>
      <c r="H556" s="617"/>
      <c r="I556" s="618"/>
      <c r="J556" s="616"/>
      <c r="K556" s="617"/>
      <c r="L556" s="618"/>
      <c r="M556" s="255"/>
      <c r="N556" s="256"/>
      <c r="O556" s="388"/>
      <c r="AA556" s="50"/>
      <c r="AD556" s="244"/>
      <c r="AE556" s="341" t="str">
        <f>IF(OR(AM556="",AM556=0,AJ556="",AG556=""),"",
(IF(AND(AF548=$P$4,AM556&lt;=$R$4),$V$4,0)+IF(AND(AF548=$P$5,AM556&lt;=$R$5),$V$5,0)+IF(AND(AF548=$P$6,AM556&lt;=$R$6),$V$6,0)+IF(AND(AF548=$P$7,AM556&lt;=$R$7),$V$7,0))
)</f>
        <v/>
      </c>
      <c r="AF556" s="153" t="s">
        <v>308</v>
      </c>
      <c r="AG556" s="598"/>
      <c r="AH556" s="599"/>
      <c r="AI556" s="600"/>
      <c r="AJ556" s="598"/>
      <c r="AK556" s="599"/>
      <c r="AL556" s="600"/>
      <c r="AM556" s="384"/>
      <c r="AN556" s="256"/>
      <c r="AO556" s="388"/>
    </row>
    <row r="557" spans="4:50" ht="15" customHeight="1" thickBot="1" x14ac:dyDescent="0.35">
      <c r="D557" s="203"/>
      <c r="E557" s="3"/>
      <c r="F557" s="3"/>
      <c r="G557" s="3"/>
      <c r="H557" s="3"/>
      <c r="I557" s="3"/>
      <c r="J557" s="3"/>
      <c r="K557" s="3"/>
      <c r="L557" s="3"/>
      <c r="M557" s="3"/>
      <c r="N557" s="204"/>
      <c r="P557" s="2"/>
      <c r="AA557" s="50"/>
      <c r="AD557" s="203"/>
      <c r="AE557" s="3"/>
      <c r="AF557" s="3"/>
      <c r="AG557" s="3"/>
      <c r="AH557" s="3"/>
      <c r="AI557" s="3"/>
      <c r="AJ557" s="3"/>
      <c r="AK557" s="3"/>
      <c r="AL557" s="3"/>
      <c r="AM557" s="3"/>
      <c r="AN557" s="204"/>
      <c r="AP557" s="2"/>
    </row>
    <row r="558" spans="4:50" x14ac:dyDescent="0.3">
      <c r="D558" s="601" t="str">
        <f>IF(
OR(
OR(F560=$P$4,F560=$P$5,F560=$P$6,F560=$P$7),AND(G562="",G563="",G564="",G565="",G566="",G567="",G568="",J562="",J563="",J564="",J565="",J566="",J567="",J568="",M562="",M563="",M564="",M565="",M566="",M567="",M568="",K559="",K560="")
),
"",
"A Set-Aside must be selected."
)</f>
        <v/>
      </c>
      <c r="E558" s="602"/>
      <c r="F558" s="602"/>
      <c r="G558" s="602"/>
      <c r="H558" s="602"/>
      <c r="I558" s="602"/>
      <c r="J558" s="602"/>
      <c r="K558" s="602"/>
      <c r="L558" s="602"/>
      <c r="M558" s="602"/>
      <c r="N558" s="603"/>
      <c r="O558" s="2"/>
      <c r="AA558" s="50"/>
      <c r="AD558" s="601" t="str">
        <f>IF(
OR(
OR(AF560=$P$4,AF560=$P$5,AF560=$P$6,AF560=$P$7),AND(AG562="",AG563="",AG564="",AG565="",AG566="",AG567="",AG568="",AJ562="",AJ563="",AJ564="",AJ565="",AJ566="",AJ567="",AJ568="",AM562="",AM563="",AM564="",AM565="",AM566="",AM567="",AM568="",AK559="",AK560="")
),
"",
"A Set-Aside must be selected."
)</f>
        <v/>
      </c>
      <c r="AE558" s="602"/>
      <c r="AF558" s="602"/>
      <c r="AG558" s="602"/>
      <c r="AH558" s="602"/>
      <c r="AI558" s="602"/>
      <c r="AJ558" s="602"/>
      <c r="AK558" s="602"/>
      <c r="AL558" s="602"/>
      <c r="AM558" s="602"/>
      <c r="AN558" s="603"/>
      <c r="AO558" s="2"/>
    </row>
    <row r="559" spans="4:50" ht="15.75" customHeight="1" x14ac:dyDescent="0.3">
      <c r="D559" s="199"/>
      <c r="E559" s="9" t="s">
        <v>30</v>
      </c>
      <c r="F559" s="86">
        <f>F547+1</f>
        <v>44</v>
      </c>
      <c r="G559" s="9" t="s">
        <v>175</v>
      </c>
      <c r="H559" s="9"/>
      <c r="I559" s="9"/>
      <c r="J559" s="168" t="s">
        <v>111</v>
      </c>
      <c r="K559" s="148"/>
      <c r="N559" s="200"/>
      <c r="R559" s="596" t="s">
        <v>302</v>
      </c>
      <c r="S559" s="596" t="s">
        <v>303</v>
      </c>
      <c r="T559" s="596" t="s">
        <v>304</v>
      </c>
      <c r="U559" s="596" t="s">
        <v>305</v>
      </c>
      <c r="V559" s="596" t="s">
        <v>306</v>
      </c>
      <c r="W559" s="596" t="s">
        <v>307</v>
      </c>
      <c r="X559" s="596" t="s">
        <v>308</v>
      </c>
      <c r="AA559" s="50"/>
      <c r="AD559" s="199"/>
      <c r="AE559" s="9" t="s">
        <v>30</v>
      </c>
      <c r="AF559" s="86">
        <f>AF547+1</f>
        <v>44</v>
      </c>
      <c r="AG559" s="9" t="s">
        <v>175</v>
      </c>
      <c r="AH559" s="9"/>
      <c r="AI559" s="9"/>
      <c r="AJ559" s="168" t="s">
        <v>111</v>
      </c>
      <c r="AK559" s="382"/>
      <c r="AN559" s="200"/>
      <c r="AR559" s="596" t="s">
        <v>302</v>
      </c>
      <c r="AS559" s="596" t="s">
        <v>303</v>
      </c>
      <c r="AT559" s="596" t="s">
        <v>304</v>
      </c>
      <c r="AU559" s="596" t="s">
        <v>305</v>
      </c>
      <c r="AV559" s="596" t="s">
        <v>306</v>
      </c>
      <c r="AW559" s="596" t="s">
        <v>307</v>
      </c>
      <c r="AX559" s="596" t="s">
        <v>308</v>
      </c>
    </row>
    <row r="560" spans="4:50" x14ac:dyDescent="0.3">
      <c r="D560" s="604" t="s">
        <v>31</v>
      </c>
      <c r="E560" s="594"/>
      <c r="F560" s="151"/>
      <c r="G560" s="86" t="str">
        <f>IF(F560=$P$4,$Q$4,IF(F560=$P$5,$Q$5,IF(F560=$P$6,$Q$6,IF(F560=$P$7,Q$7,IF(F560=$P$8,"","")))))</f>
        <v/>
      </c>
      <c r="H560" s="201"/>
      <c r="I560" s="201"/>
      <c r="J560" s="168" t="s">
        <v>112</v>
      </c>
      <c r="K560" s="148"/>
      <c r="N560" s="200"/>
      <c r="R560" s="596"/>
      <c r="S560" s="596"/>
      <c r="T560" s="596"/>
      <c r="U560" s="596"/>
      <c r="V560" s="596"/>
      <c r="W560" s="596"/>
      <c r="X560" s="596"/>
      <c r="AA560" s="50"/>
      <c r="AD560" s="604" t="s">
        <v>31</v>
      </c>
      <c r="AE560" s="594"/>
      <c r="AF560" s="383"/>
      <c r="AG560" s="86" t="str">
        <f>IF(AF560=$P$4,$Q$4,IF(AF560=$P$5,$Q$5,IF(AF560=$P$6,$Q$6,IF(AF560=$P$7,AQ$7,IF(AF560=$P$8,"","")))))</f>
        <v/>
      </c>
      <c r="AH560" s="201"/>
      <c r="AI560" s="201"/>
      <c r="AJ560" s="168" t="s">
        <v>112</v>
      </c>
      <c r="AK560" s="382"/>
      <c r="AN560" s="200"/>
      <c r="AR560" s="596"/>
      <c r="AS560" s="596"/>
      <c r="AT560" s="596"/>
      <c r="AU560" s="596"/>
      <c r="AV560" s="596"/>
      <c r="AW560" s="596"/>
      <c r="AX560" s="596"/>
    </row>
    <row r="561" spans="4:50" x14ac:dyDescent="0.3">
      <c r="D561" s="244"/>
      <c r="E561" s="230" t="s">
        <v>52</v>
      </c>
      <c r="F561" s="9" t="s">
        <v>32</v>
      </c>
      <c r="G561" s="9" t="s">
        <v>33</v>
      </c>
      <c r="H561" s="9"/>
      <c r="I561" s="9"/>
      <c r="J561" s="9" t="s">
        <v>34</v>
      </c>
      <c r="K561" s="9"/>
      <c r="L561" s="9"/>
      <c r="M561" s="257" t="s">
        <v>35</v>
      </c>
      <c r="N561" s="202"/>
      <c r="O561" s="9"/>
      <c r="P561" s="198" t="s">
        <v>22</v>
      </c>
      <c r="Q561" s="198"/>
      <c r="R561" s="596"/>
      <c r="S561" s="596"/>
      <c r="T561" s="596"/>
      <c r="U561" s="596"/>
      <c r="V561" s="596"/>
      <c r="W561" s="596"/>
      <c r="X561" s="596"/>
      <c r="AA561" s="50"/>
      <c r="AD561" s="244"/>
      <c r="AE561" s="230" t="s">
        <v>52</v>
      </c>
      <c r="AF561" s="9" t="s">
        <v>32</v>
      </c>
      <c r="AG561" s="9" t="s">
        <v>33</v>
      </c>
      <c r="AH561" s="9"/>
      <c r="AI561" s="9"/>
      <c r="AJ561" s="9" t="s">
        <v>34</v>
      </c>
      <c r="AK561" s="9"/>
      <c r="AL561" s="9"/>
      <c r="AM561" s="257" t="s">
        <v>35</v>
      </c>
      <c r="AN561" s="202"/>
      <c r="AO561" s="9"/>
      <c r="AP561" s="198" t="s">
        <v>22</v>
      </c>
      <c r="AQ561" s="198"/>
      <c r="AR561" s="596"/>
      <c r="AS561" s="596"/>
      <c r="AT561" s="596"/>
      <c r="AU561" s="596"/>
      <c r="AV561" s="596"/>
      <c r="AW561" s="596"/>
      <c r="AX561" s="596"/>
    </row>
    <row r="562" spans="4:50" x14ac:dyDescent="0.3">
      <c r="D562" s="244"/>
      <c r="E562" s="355" t="str">
        <f>IF(OR(M562="",M562=0,J562="",G562=""),"",
(IF(AND(F560=$P$4,M562&lt;=$R$4),$V$4,0)+IF(AND(F560=$P$5,M562&lt;=$R$5),$V$5,0)+IF(AND(F560=$P$6,M562&lt;=$R$6),$V$6,0)+IF(AND(F560=$P$7,M562&lt;=$R$7),$V$7,0))
)</f>
        <v/>
      </c>
      <c r="F562" s="153" t="s">
        <v>302</v>
      </c>
      <c r="G562" s="616"/>
      <c r="H562" s="617"/>
      <c r="I562" s="618"/>
      <c r="J562" s="616"/>
      <c r="K562" s="617"/>
      <c r="L562" s="618"/>
      <c r="M562" s="255"/>
      <c r="N562" s="256"/>
      <c r="O562" s="388"/>
      <c r="P562" s="185">
        <f t="shared" ref="P562" si="687">IF(F560="",0,1)</f>
        <v>0</v>
      </c>
      <c r="R562" s="185" t="str">
        <f t="shared" ref="R562" si="688">E562</f>
        <v/>
      </c>
      <c r="S562" s="185" t="str">
        <f t="shared" ref="S562" si="689">E563</f>
        <v/>
      </c>
      <c r="T562" s="185" t="str">
        <f t="shared" ref="T562" si="690">E564</f>
        <v/>
      </c>
      <c r="U562" s="185" t="str">
        <f t="shared" ref="U562" si="691">E565</f>
        <v/>
      </c>
      <c r="V562" s="185" t="str">
        <f t="shared" ref="V562" si="692">E566</f>
        <v/>
      </c>
      <c r="W562" s="185" t="str">
        <f t="shared" ref="W562" si="693">E567</f>
        <v/>
      </c>
      <c r="X562" s="185" t="str">
        <f t="shared" ref="X562" si="694">E568</f>
        <v/>
      </c>
      <c r="AA562" s="50"/>
      <c r="AD562" s="244"/>
      <c r="AE562" s="355" t="str">
        <f>IF(OR(AM562="",AM562=0,AJ562="",AG562=""),"",
(IF(AND(AF560=$P$4,AM562&lt;=$R$4),$V$4,0)+IF(AND(AF560=$P$5,AM562&lt;=$R$5),$V$5,0)+IF(AND(AF560=$P$6,AM562&lt;=$R$6),$V$6,0)+IF(AND(AF560=$P$7,AM562&lt;=$R$7),$V$7,0))
)</f>
        <v/>
      </c>
      <c r="AF562" s="153" t="s">
        <v>302</v>
      </c>
      <c r="AG562" s="598"/>
      <c r="AH562" s="599"/>
      <c r="AI562" s="600"/>
      <c r="AJ562" s="598"/>
      <c r="AK562" s="599"/>
      <c r="AL562" s="600"/>
      <c r="AM562" s="384"/>
      <c r="AN562" s="256"/>
      <c r="AO562" s="388"/>
      <c r="AP562" s="185">
        <f t="shared" ref="AP562" si="695">IF(AF560="",0,1)</f>
        <v>0</v>
      </c>
      <c r="AR562" s="185" t="str">
        <f t="shared" ref="AR562" si="696">AE562</f>
        <v/>
      </c>
      <c r="AS562" s="185" t="str">
        <f t="shared" ref="AS562" si="697">AE563</f>
        <v/>
      </c>
      <c r="AT562" s="185" t="str">
        <f t="shared" ref="AT562" si="698">AE564</f>
        <v/>
      </c>
      <c r="AU562" s="185" t="str">
        <f t="shared" ref="AU562" si="699">AE565</f>
        <v/>
      </c>
      <c r="AV562" s="185" t="str">
        <f t="shared" ref="AV562" si="700">AE566</f>
        <v/>
      </c>
      <c r="AW562" s="185" t="str">
        <f t="shared" ref="AW562" si="701">AE567</f>
        <v/>
      </c>
      <c r="AX562" s="185" t="str">
        <f t="shared" ref="AX562" si="702">AE568</f>
        <v/>
      </c>
    </row>
    <row r="563" spans="4:50" ht="15" customHeight="1" x14ac:dyDescent="0.3">
      <c r="D563" s="244"/>
      <c r="E563" s="341" t="str">
        <f>IF(OR(M563="",M563=0,J563="",G563=""),"",
(IF(AND(F560=$P$4,M563&lt;=$R$4),$V$4,0)+IF(AND(F560=$P$5,M563&lt;=$R$5),$V$5,0)+IF(AND(F560=$P$6,M563&lt;=$R$6),$V$6,0)+IF(AND(F560=$P$7,M563&lt;=$R$7),$V$7,0))
)</f>
        <v/>
      </c>
      <c r="F563" s="153" t="s">
        <v>303</v>
      </c>
      <c r="G563" s="616"/>
      <c r="H563" s="617"/>
      <c r="I563" s="618"/>
      <c r="J563" s="616"/>
      <c r="K563" s="617"/>
      <c r="L563" s="618"/>
      <c r="M563" s="255"/>
      <c r="N563" s="256"/>
      <c r="O563" s="388"/>
      <c r="AA563" s="50"/>
      <c r="AD563" s="244"/>
      <c r="AE563" s="341" t="str">
        <f>IF(OR(AM563="",AM563=0,AJ563="",AG563=""),"",
(IF(AND(AF560=$P$4,AM563&lt;=$R$4),$V$4,0)+IF(AND(AF560=$P$5,AM563&lt;=$R$5),$V$5,0)+IF(AND(AF560=$P$6,AM563&lt;=$R$6),$V$6,0)+IF(AND(AF560=$P$7,AM563&lt;=$R$7),$V$7,0))
)</f>
        <v/>
      </c>
      <c r="AF563" s="153" t="s">
        <v>303</v>
      </c>
      <c r="AG563" s="598"/>
      <c r="AH563" s="599"/>
      <c r="AI563" s="600"/>
      <c r="AJ563" s="598"/>
      <c r="AK563" s="599"/>
      <c r="AL563" s="600"/>
      <c r="AM563" s="384"/>
      <c r="AN563" s="256"/>
      <c r="AO563" s="388"/>
    </row>
    <row r="564" spans="4:50" ht="15" customHeight="1" x14ac:dyDescent="0.3">
      <c r="D564" s="244"/>
      <c r="E564" s="341" t="str">
        <f>IF(OR(M564="",M564=0,J564="",G564=""),"",
(IF(AND(F560=$P$4,M564&lt;=$R$4),$V$4,0)+IF(AND(F560=$P$5,M564&lt;=$R$5),$V$5,0)+IF(AND(F560=$P$6,M564&lt;=$R$6),$V$6,0)+IF(AND(F560=$P$7,M564&lt;=$R$7),$V$7,0))
)</f>
        <v/>
      </c>
      <c r="F564" s="153" t="s">
        <v>304</v>
      </c>
      <c r="G564" s="616"/>
      <c r="H564" s="617"/>
      <c r="I564" s="618"/>
      <c r="J564" s="616"/>
      <c r="K564" s="617"/>
      <c r="L564" s="618"/>
      <c r="M564" s="255"/>
      <c r="N564" s="256"/>
      <c r="O564" s="388"/>
      <c r="AA564" s="50"/>
      <c r="AD564" s="244"/>
      <c r="AE564" s="341" t="str">
        <f>IF(OR(AM564="",AM564=0,AJ564="",AG564=""),"",
(IF(AND(AF560=$P$4,AM564&lt;=$R$4),$V$4,0)+IF(AND(AF560=$P$5,AM564&lt;=$R$5),$V$5,0)+IF(AND(AF560=$P$6,AM564&lt;=$R$6),$V$6,0)+IF(AND(AF560=$P$7,AM564&lt;=$R$7),$V$7,0))
)</f>
        <v/>
      </c>
      <c r="AF564" s="153" t="s">
        <v>304</v>
      </c>
      <c r="AG564" s="598"/>
      <c r="AH564" s="599"/>
      <c r="AI564" s="600"/>
      <c r="AJ564" s="598"/>
      <c r="AK564" s="599"/>
      <c r="AL564" s="600"/>
      <c r="AM564" s="384"/>
      <c r="AN564" s="256"/>
      <c r="AO564" s="388"/>
    </row>
    <row r="565" spans="4:50" ht="15" customHeight="1" x14ac:dyDescent="0.3">
      <c r="D565" s="244"/>
      <c r="E565" s="341" t="str">
        <f>IF(OR(M565="",M565=0,J565="",G565=""),"",
(IF(AND(F560=$P$4,M565&lt;=$R$4),$V$4,0)+IF(AND(F560=$P$5,M565&lt;=$R$5),$V$5,0)+IF(AND(F560=$P$6,M565&lt;=$R$6),$V$6,0)+IF(AND(F560=$P$7,M565&lt;=$R$7),$V$7,0))
)</f>
        <v/>
      </c>
      <c r="F565" s="153" t="s">
        <v>305</v>
      </c>
      <c r="G565" s="616"/>
      <c r="H565" s="617"/>
      <c r="I565" s="618"/>
      <c r="J565" s="616"/>
      <c r="K565" s="617"/>
      <c r="L565" s="618"/>
      <c r="M565" s="255"/>
      <c r="N565" s="256"/>
      <c r="O565" s="388"/>
      <c r="AA565" s="50"/>
      <c r="AD565" s="244"/>
      <c r="AE565" s="341" t="str">
        <f>IF(OR(AM565="",AM565=0,AJ565="",AG565=""),"",
(IF(AND(AF560=$P$4,AM565&lt;=$R$4),$V$4,0)+IF(AND(AF560=$P$5,AM565&lt;=$R$5),$V$5,0)+IF(AND(AF560=$P$6,AM565&lt;=$R$6),$V$6,0)+IF(AND(AF560=$P$7,AM565&lt;=$R$7),$V$7,0))
)</f>
        <v/>
      </c>
      <c r="AF565" s="153" t="s">
        <v>305</v>
      </c>
      <c r="AG565" s="598"/>
      <c r="AH565" s="599"/>
      <c r="AI565" s="600"/>
      <c r="AJ565" s="598"/>
      <c r="AK565" s="599"/>
      <c r="AL565" s="600"/>
      <c r="AM565" s="384"/>
      <c r="AN565" s="256"/>
      <c r="AO565" s="388"/>
    </row>
    <row r="566" spans="4:50" ht="15" customHeight="1" x14ac:dyDescent="0.3">
      <c r="D566" s="244"/>
      <c r="E566" s="341" t="str">
        <f>IF(OR(M566="",M566=0,J566="",G566=""),"",
(IF(AND(F560=$P$4,M566&lt;=$R$4),$V$4,0)+IF(AND(F560=$P$5,M566&lt;=$R$5),$V$5,0)+IF(AND(F560=$P$6,M566&lt;=$R$6),$V$6,0)+IF(AND(F560=$P$7,M566&lt;=$R$7),$V$7,0))
)</f>
        <v/>
      </c>
      <c r="F566" s="153" t="s">
        <v>306</v>
      </c>
      <c r="G566" s="616"/>
      <c r="H566" s="617"/>
      <c r="I566" s="618"/>
      <c r="J566" s="616"/>
      <c r="K566" s="617"/>
      <c r="L566" s="618"/>
      <c r="M566" s="255"/>
      <c r="N566" s="256"/>
      <c r="O566" s="388"/>
      <c r="AA566" s="50"/>
      <c r="AD566" s="244"/>
      <c r="AE566" s="341" t="str">
        <f>IF(OR(AM566="",AM566=0,AJ566="",AG566=""),"",
(IF(AND(AF560=$P$4,AM566&lt;=$R$4),$V$4,0)+IF(AND(AF560=$P$5,AM566&lt;=$R$5),$V$5,0)+IF(AND(AF560=$P$6,AM566&lt;=$R$6),$V$6,0)+IF(AND(AF560=$P$7,AM566&lt;=$R$7),$V$7,0))
)</f>
        <v/>
      </c>
      <c r="AF566" s="153" t="s">
        <v>306</v>
      </c>
      <c r="AG566" s="598"/>
      <c r="AH566" s="599"/>
      <c r="AI566" s="600"/>
      <c r="AJ566" s="598"/>
      <c r="AK566" s="599"/>
      <c r="AL566" s="600"/>
      <c r="AM566" s="384"/>
      <c r="AN566" s="256"/>
      <c r="AO566" s="388"/>
    </row>
    <row r="567" spans="4:50" ht="15" customHeight="1" x14ac:dyDescent="0.3">
      <c r="D567" s="244"/>
      <c r="E567" s="341" t="str">
        <f>IF(OR(M567="",M567=0,J567="",G567=""),"",
(IF(AND(F560=$P$4,M567&lt;=$R$4),$V$4,0)+IF(AND(F560=$P$5,M567&lt;=$R$5),$V$5,0)+IF(AND(F560=$P$6,M567&lt;=$R$6),$V$6,0)+IF(AND(F560=$P$7,M567&lt;=$R$7),$V$7,0))
)</f>
        <v/>
      </c>
      <c r="F567" s="153" t="s">
        <v>307</v>
      </c>
      <c r="G567" s="616"/>
      <c r="H567" s="617"/>
      <c r="I567" s="618"/>
      <c r="J567" s="616"/>
      <c r="K567" s="617"/>
      <c r="L567" s="618"/>
      <c r="M567" s="255"/>
      <c r="N567" s="256"/>
      <c r="O567" s="388"/>
      <c r="AA567" s="50"/>
      <c r="AD567" s="244"/>
      <c r="AE567" s="341" t="str">
        <f>IF(OR(AM567="",AM567=0,AJ567="",AG567=""),"",
(IF(AND(AF560=$P$4,AM567&lt;=$R$4),$V$4,0)+IF(AND(AF560=$P$5,AM567&lt;=$R$5),$V$5,0)+IF(AND(AF560=$P$6,AM567&lt;=$R$6),$V$6,0)+IF(AND(AF560=$P$7,AM567&lt;=$R$7),$V$7,0))
)</f>
        <v/>
      </c>
      <c r="AF567" s="153" t="s">
        <v>307</v>
      </c>
      <c r="AG567" s="598"/>
      <c r="AH567" s="599"/>
      <c r="AI567" s="600"/>
      <c r="AJ567" s="598"/>
      <c r="AK567" s="599"/>
      <c r="AL567" s="600"/>
      <c r="AM567" s="384"/>
      <c r="AN567" s="256"/>
      <c r="AO567" s="388"/>
    </row>
    <row r="568" spans="4:50" x14ac:dyDescent="0.3">
      <c r="D568" s="244"/>
      <c r="E568" s="341" t="str">
        <f>IF(OR(M568="",M568=0,J568="",G568=""),"",
(IF(AND(F560=$P$4,M568&lt;=$R$4),$V$4,0)+IF(AND(F560=$P$5,M568&lt;=$R$5),$V$5,0)+IF(AND(F560=$P$6,M568&lt;=$R$6),$V$6,0)+IF(AND(F560=$P$7,M568&lt;=$R$7),$V$7,0))
)</f>
        <v/>
      </c>
      <c r="F568" s="153" t="s">
        <v>308</v>
      </c>
      <c r="G568" s="616"/>
      <c r="H568" s="617"/>
      <c r="I568" s="618"/>
      <c r="J568" s="616"/>
      <c r="K568" s="617"/>
      <c r="L568" s="618"/>
      <c r="M568" s="255"/>
      <c r="N568" s="256"/>
      <c r="O568" s="388"/>
      <c r="AA568" s="50"/>
      <c r="AD568" s="244"/>
      <c r="AE568" s="341" t="str">
        <f>IF(OR(AM568="",AM568=0,AJ568="",AG568=""),"",
(IF(AND(AF560=$P$4,AM568&lt;=$R$4),$V$4,0)+IF(AND(AF560=$P$5,AM568&lt;=$R$5),$V$5,0)+IF(AND(AF560=$P$6,AM568&lt;=$R$6),$V$6,0)+IF(AND(AF560=$P$7,AM568&lt;=$R$7),$V$7,0))
)</f>
        <v/>
      </c>
      <c r="AF568" s="153" t="s">
        <v>308</v>
      </c>
      <c r="AG568" s="598"/>
      <c r="AH568" s="599"/>
      <c r="AI568" s="600"/>
      <c r="AJ568" s="598"/>
      <c r="AK568" s="599"/>
      <c r="AL568" s="600"/>
      <c r="AM568" s="384"/>
      <c r="AN568" s="256"/>
      <c r="AO568" s="388"/>
    </row>
    <row r="569" spans="4:50" ht="16.2" thickBot="1" x14ac:dyDescent="0.35">
      <c r="D569" s="203"/>
      <c r="E569" s="3"/>
      <c r="F569" s="3"/>
      <c r="G569" s="3"/>
      <c r="H569" s="3"/>
      <c r="I569" s="3"/>
      <c r="J569" s="3"/>
      <c r="K569" s="3"/>
      <c r="L569" s="3"/>
      <c r="M569" s="3"/>
      <c r="N569" s="204"/>
      <c r="P569" s="2"/>
      <c r="AA569" s="50"/>
      <c r="AD569" s="203"/>
      <c r="AE569" s="3"/>
      <c r="AF569" s="3"/>
      <c r="AG569" s="3"/>
      <c r="AH569" s="3"/>
      <c r="AI569" s="3"/>
      <c r="AJ569" s="3"/>
      <c r="AK569" s="3"/>
      <c r="AL569" s="3"/>
      <c r="AM569" s="3"/>
      <c r="AN569" s="204"/>
      <c r="AP569" s="2"/>
    </row>
    <row r="570" spans="4:50" x14ac:dyDescent="0.3">
      <c r="D570" s="601" t="str">
        <f>IF(
OR(
OR(F572=$P$4,F572=$P$5,F572=$P$6,F572=$P$7),AND(G574="",G575="",G576="",G577="",G578="",G579="",G580="",J574="",J575="",J576="",J577="",J578="",J579="",J580="",M574="",M575="",M576="",M577="",M578="",M579="",M580="",K571="",K572="")
),
"",
"A Set-Aside must be selected."
)</f>
        <v/>
      </c>
      <c r="E570" s="602"/>
      <c r="F570" s="602"/>
      <c r="G570" s="602"/>
      <c r="H570" s="602"/>
      <c r="I570" s="602"/>
      <c r="J570" s="602"/>
      <c r="K570" s="602"/>
      <c r="L570" s="602"/>
      <c r="M570" s="602"/>
      <c r="N570" s="603"/>
      <c r="O570" s="2"/>
      <c r="AA570" s="50"/>
      <c r="AD570" s="601" t="str">
        <f>IF(
OR(
OR(AF572=$P$4,AF572=$P$5,AF572=$P$6,AF572=$P$7),AND(AG574="",AG575="",AG576="",AG577="",AG578="",AG579="",AG580="",AJ574="",AJ575="",AJ576="",AJ577="",AJ578="",AJ579="",AJ580="",AM574="",AM575="",AM576="",AM577="",AM578="",AM579="",AM580="",AK571="",AK572="")
),
"",
"A Set-Aside must be selected."
)</f>
        <v/>
      </c>
      <c r="AE570" s="602"/>
      <c r="AF570" s="602"/>
      <c r="AG570" s="602"/>
      <c r="AH570" s="602"/>
      <c r="AI570" s="602"/>
      <c r="AJ570" s="602"/>
      <c r="AK570" s="602"/>
      <c r="AL570" s="602"/>
      <c r="AM570" s="602"/>
      <c r="AN570" s="603"/>
      <c r="AO570" s="2"/>
    </row>
    <row r="571" spans="4:50" ht="15.75" customHeight="1" x14ac:dyDescent="0.3">
      <c r="D571" s="199"/>
      <c r="E571" s="9" t="s">
        <v>30</v>
      </c>
      <c r="F571" s="86">
        <f>F559+1</f>
        <v>45</v>
      </c>
      <c r="G571" s="9" t="s">
        <v>175</v>
      </c>
      <c r="H571" s="9"/>
      <c r="I571" s="9"/>
      <c r="J571" s="168" t="s">
        <v>111</v>
      </c>
      <c r="K571" s="148"/>
      <c r="N571" s="200"/>
      <c r="R571" s="596" t="s">
        <v>302</v>
      </c>
      <c r="S571" s="596" t="s">
        <v>303</v>
      </c>
      <c r="T571" s="596" t="s">
        <v>304</v>
      </c>
      <c r="U571" s="596" t="s">
        <v>305</v>
      </c>
      <c r="V571" s="596" t="s">
        <v>306</v>
      </c>
      <c r="W571" s="596" t="s">
        <v>307</v>
      </c>
      <c r="X571" s="596" t="s">
        <v>308</v>
      </c>
      <c r="AA571" s="50"/>
      <c r="AD571" s="199"/>
      <c r="AE571" s="9" t="s">
        <v>30</v>
      </c>
      <c r="AF571" s="86">
        <f>AF559+1</f>
        <v>45</v>
      </c>
      <c r="AG571" s="9" t="s">
        <v>175</v>
      </c>
      <c r="AH571" s="9"/>
      <c r="AI571" s="9"/>
      <c r="AJ571" s="168" t="s">
        <v>111</v>
      </c>
      <c r="AK571" s="382"/>
      <c r="AN571" s="200"/>
      <c r="AR571" s="596" t="s">
        <v>302</v>
      </c>
      <c r="AS571" s="596" t="s">
        <v>303</v>
      </c>
      <c r="AT571" s="596" t="s">
        <v>304</v>
      </c>
      <c r="AU571" s="596" t="s">
        <v>305</v>
      </c>
      <c r="AV571" s="596" t="s">
        <v>306</v>
      </c>
      <c r="AW571" s="596" t="s">
        <v>307</v>
      </c>
      <c r="AX571" s="596" t="s">
        <v>308</v>
      </c>
    </row>
    <row r="572" spans="4:50" x14ac:dyDescent="0.3">
      <c r="D572" s="604" t="s">
        <v>31</v>
      </c>
      <c r="E572" s="594"/>
      <c r="F572" s="151"/>
      <c r="G572" s="86" t="str">
        <f>IF(F572=$P$4,$Q$4,IF(F572=$P$5,$Q$5,IF(F572=$P$6,$Q$6,IF(F572=$P$7,Q$7,IF(F572=$P$8,"","")))))</f>
        <v/>
      </c>
      <c r="H572" s="201"/>
      <c r="I572" s="201"/>
      <c r="J572" s="168" t="s">
        <v>112</v>
      </c>
      <c r="K572" s="148"/>
      <c r="N572" s="200"/>
      <c r="R572" s="596"/>
      <c r="S572" s="596"/>
      <c r="T572" s="596"/>
      <c r="U572" s="596"/>
      <c r="V572" s="596"/>
      <c r="W572" s="596"/>
      <c r="X572" s="596"/>
      <c r="AA572" s="50"/>
      <c r="AD572" s="604" t="s">
        <v>31</v>
      </c>
      <c r="AE572" s="594"/>
      <c r="AF572" s="383"/>
      <c r="AG572" s="86" t="str">
        <f>IF(AF572=$P$4,$Q$4,IF(AF572=$P$5,$Q$5,IF(AF572=$P$6,$Q$6,IF(AF572=$P$7,AQ$7,IF(AF572=$P$8,"","")))))</f>
        <v/>
      </c>
      <c r="AH572" s="201"/>
      <c r="AI572" s="201"/>
      <c r="AJ572" s="168" t="s">
        <v>112</v>
      </c>
      <c r="AK572" s="382"/>
      <c r="AN572" s="200"/>
      <c r="AR572" s="596"/>
      <c r="AS572" s="596"/>
      <c r="AT572" s="596"/>
      <c r="AU572" s="596"/>
      <c r="AV572" s="596"/>
      <c r="AW572" s="596"/>
      <c r="AX572" s="596"/>
    </row>
    <row r="573" spans="4:50" ht="15" customHeight="1" x14ac:dyDescent="0.3">
      <c r="D573" s="244"/>
      <c r="E573" s="230" t="s">
        <v>52</v>
      </c>
      <c r="F573" s="9" t="s">
        <v>32</v>
      </c>
      <c r="G573" s="9" t="s">
        <v>33</v>
      </c>
      <c r="H573" s="9"/>
      <c r="I573" s="9"/>
      <c r="J573" s="9" t="s">
        <v>34</v>
      </c>
      <c r="K573" s="9"/>
      <c r="L573" s="9"/>
      <c r="M573" s="257" t="s">
        <v>35</v>
      </c>
      <c r="N573" s="202"/>
      <c r="O573" s="9"/>
      <c r="P573" s="198" t="s">
        <v>22</v>
      </c>
      <c r="Q573" s="198"/>
      <c r="R573" s="596"/>
      <c r="S573" s="596"/>
      <c r="T573" s="596"/>
      <c r="U573" s="596"/>
      <c r="V573" s="596"/>
      <c r="W573" s="596"/>
      <c r="X573" s="596"/>
      <c r="AA573" s="50"/>
      <c r="AD573" s="244"/>
      <c r="AE573" s="230" t="s">
        <v>52</v>
      </c>
      <c r="AF573" s="9" t="s">
        <v>32</v>
      </c>
      <c r="AG573" s="9" t="s">
        <v>33</v>
      </c>
      <c r="AH573" s="9"/>
      <c r="AI573" s="9"/>
      <c r="AJ573" s="9" t="s">
        <v>34</v>
      </c>
      <c r="AK573" s="9"/>
      <c r="AL573" s="9"/>
      <c r="AM573" s="257" t="s">
        <v>35</v>
      </c>
      <c r="AN573" s="202"/>
      <c r="AO573" s="9"/>
      <c r="AP573" s="198" t="s">
        <v>22</v>
      </c>
      <c r="AQ573" s="198"/>
      <c r="AR573" s="596"/>
      <c r="AS573" s="596"/>
      <c r="AT573" s="596"/>
      <c r="AU573" s="596"/>
      <c r="AV573" s="596"/>
      <c r="AW573" s="596"/>
      <c r="AX573" s="596"/>
    </row>
    <row r="574" spans="4:50" ht="15" customHeight="1" x14ac:dyDescent="0.3">
      <c r="D574" s="244"/>
      <c r="E574" s="355" t="str">
        <f>IF(OR(M574="",M574=0,J574="",G574=""),"",
(IF(AND(F572=$P$4,M574&lt;=$R$4),$V$4,0)+IF(AND(F572=$P$5,M574&lt;=$R$5),$V$5,0)+IF(AND(F572=$P$6,M574&lt;=$R$6),$V$6,0)+IF(AND(F572=$P$7,M574&lt;=$R$7),$V$7,0))
)</f>
        <v/>
      </c>
      <c r="F574" s="153" t="s">
        <v>302</v>
      </c>
      <c r="G574" s="616"/>
      <c r="H574" s="617"/>
      <c r="I574" s="618"/>
      <c r="J574" s="616"/>
      <c r="K574" s="617"/>
      <c r="L574" s="618"/>
      <c r="M574" s="255"/>
      <c r="N574" s="256"/>
      <c r="O574" s="388"/>
      <c r="P574" s="185">
        <f t="shared" ref="P574" si="703">IF(F572="",0,1)</f>
        <v>0</v>
      </c>
      <c r="R574" s="185" t="str">
        <f t="shared" ref="R574" si="704">E574</f>
        <v/>
      </c>
      <c r="S574" s="185" t="str">
        <f t="shared" ref="S574" si="705">E575</f>
        <v/>
      </c>
      <c r="T574" s="185" t="str">
        <f t="shared" ref="T574" si="706">E576</f>
        <v/>
      </c>
      <c r="U574" s="185" t="str">
        <f t="shared" ref="U574" si="707">E577</f>
        <v/>
      </c>
      <c r="V574" s="185" t="str">
        <f t="shared" ref="V574" si="708">E578</f>
        <v/>
      </c>
      <c r="W574" s="185" t="str">
        <f t="shared" ref="W574" si="709">E579</f>
        <v/>
      </c>
      <c r="X574" s="185" t="str">
        <f t="shared" ref="X574" si="710">E580</f>
        <v/>
      </c>
      <c r="AA574" s="50"/>
      <c r="AD574" s="244"/>
      <c r="AE574" s="355" t="str">
        <f>IF(OR(AM574="",AM574=0,AJ574="",AG574=""),"",
(IF(AND(AF572=$P$4,AM574&lt;=$R$4),$V$4,0)+IF(AND(AF572=$P$5,AM574&lt;=$R$5),$V$5,0)+IF(AND(AF572=$P$6,AM574&lt;=$R$6),$V$6,0)+IF(AND(AF572=$P$7,AM574&lt;=$R$7),$V$7,0))
)</f>
        <v/>
      </c>
      <c r="AF574" s="153" t="s">
        <v>302</v>
      </c>
      <c r="AG574" s="598"/>
      <c r="AH574" s="599"/>
      <c r="AI574" s="600"/>
      <c r="AJ574" s="598"/>
      <c r="AK574" s="599"/>
      <c r="AL574" s="600"/>
      <c r="AM574" s="384"/>
      <c r="AN574" s="256"/>
      <c r="AO574" s="388"/>
      <c r="AP574" s="185">
        <f t="shared" ref="AP574" si="711">IF(AF572="",0,1)</f>
        <v>0</v>
      </c>
      <c r="AR574" s="185" t="str">
        <f t="shared" ref="AR574" si="712">AE574</f>
        <v/>
      </c>
      <c r="AS574" s="185" t="str">
        <f t="shared" ref="AS574" si="713">AE575</f>
        <v/>
      </c>
      <c r="AT574" s="185" t="str">
        <f t="shared" ref="AT574" si="714">AE576</f>
        <v/>
      </c>
      <c r="AU574" s="185" t="str">
        <f t="shared" ref="AU574" si="715">AE577</f>
        <v/>
      </c>
      <c r="AV574" s="185" t="str">
        <f t="shared" ref="AV574" si="716">AE578</f>
        <v/>
      </c>
      <c r="AW574" s="185" t="str">
        <f t="shared" ref="AW574" si="717">AE579</f>
        <v/>
      </c>
      <c r="AX574" s="185" t="str">
        <f t="shared" ref="AX574" si="718">AE580</f>
        <v/>
      </c>
    </row>
    <row r="575" spans="4:50" ht="15" customHeight="1" x14ac:dyDescent="0.3">
      <c r="D575" s="244"/>
      <c r="E575" s="341" t="str">
        <f>IF(OR(M575="",M575=0,J575="",G575=""),"",
(IF(AND(F572=$P$4,M575&lt;=$R$4),$V$4,0)+IF(AND(F572=$P$5,M575&lt;=$R$5),$V$5,0)+IF(AND(F572=$P$6,M575&lt;=$R$6),$V$6,0)+IF(AND(F572=$P$7,M575&lt;=$R$7),$V$7,0))
)</f>
        <v/>
      </c>
      <c r="F575" s="153" t="s">
        <v>303</v>
      </c>
      <c r="G575" s="616"/>
      <c r="H575" s="617"/>
      <c r="I575" s="618"/>
      <c r="J575" s="616"/>
      <c r="K575" s="617"/>
      <c r="L575" s="618"/>
      <c r="M575" s="255"/>
      <c r="N575" s="256"/>
      <c r="O575" s="388"/>
      <c r="AA575" s="50"/>
      <c r="AD575" s="244"/>
      <c r="AE575" s="341" t="str">
        <f>IF(OR(AM575="",AM575=0,AJ575="",AG575=""),"",
(IF(AND(AF572=$P$4,AM575&lt;=$R$4),$V$4,0)+IF(AND(AF572=$P$5,AM575&lt;=$R$5),$V$5,0)+IF(AND(AF572=$P$6,AM575&lt;=$R$6),$V$6,0)+IF(AND(AF572=$P$7,AM575&lt;=$R$7),$V$7,0))
)</f>
        <v/>
      </c>
      <c r="AF575" s="153" t="s">
        <v>303</v>
      </c>
      <c r="AG575" s="598"/>
      <c r="AH575" s="599"/>
      <c r="AI575" s="600"/>
      <c r="AJ575" s="598"/>
      <c r="AK575" s="599"/>
      <c r="AL575" s="600"/>
      <c r="AM575" s="384"/>
      <c r="AN575" s="256"/>
      <c r="AO575" s="388"/>
    </row>
    <row r="576" spans="4:50" ht="15" customHeight="1" x14ac:dyDescent="0.3">
      <c r="D576" s="244"/>
      <c r="E576" s="341" t="str">
        <f>IF(OR(M576="",M576=0,J576="",G576=""),"",
(IF(AND(F572=$P$4,M576&lt;=$R$4),$V$4,0)+IF(AND(F572=$P$5,M576&lt;=$R$5),$V$5,0)+IF(AND(F572=$P$6,M576&lt;=$R$6),$V$6,0)+IF(AND(F572=$P$7,M576&lt;=$R$7),$V$7,0))
)</f>
        <v/>
      </c>
      <c r="F576" s="153" t="s">
        <v>304</v>
      </c>
      <c r="G576" s="616"/>
      <c r="H576" s="617"/>
      <c r="I576" s="618"/>
      <c r="J576" s="616"/>
      <c r="K576" s="617"/>
      <c r="L576" s="618"/>
      <c r="M576" s="255"/>
      <c r="N576" s="256"/>
      <c r="O576" s="388"/>
      <c r="AA576" s="50"/>
      <c r="AD576" s="244"/>
      <c r="AE576" s="341" t="str">
        <f>IF(OR(AM576="",AM576=0,AJ576="",AG576=""),"",
(IF(AND(AF572=$P$4,AM576&lt;=$R$4),$V$4,0)+IF(AND(AF572=$P$5,AM576&lt;=$R$5),$V$5,0)+IF(AND(AF572=$P$6,AM576&lt;=$R$6),$V$6,0)+IF(AND(AF572=$P$7,AM576&lt;=$R$7),$V$7,0))
)</f>
        <v/>
      </c>
      <c r="AF576" s="153" t="s">
        <v>304</v>
      </c>
      <c r="AG576" s="598"/>
      <c r="AH576" s="599"/>
      <c r="AI576" s="600"/>
      <c r="AJ576" s="598"/>
      <c r="AK576" s="599"/>
      <c r="AL576" s="600"/>
      <c r="AM576" s="384"/>
      <c r="AN576" s="256"/>
      <c r="AO576" s="388"/>
    </row>
    <row r="577" spans="4:50" ht="15" customHeight="1" x14ac:dyDescent="0.3">
      <c r="D577" s="244"/>
      <c r="E577" s="341" t="str">
        <f>IF(OR(M577="",M577=0,J577="",G577=""),"",
(IF(AND(F572=$P$4,M577&lt;=$R$4),$V$4,0)+IF(AND(F572=$P$5,M577&lt;=$R$5),$V$5,0)+IF(AND(F572=$P$6,M577&lt;=$R$6),$V$6,0)+IF(AND(F572=$P$7,M577&lt;=$R$7),$V$7,0))
)</f>
        <v/>
      </c>
      <c r="F577" s="153" t="s">
        <v>305</v>
      </c>
      <c r="G577" s="616"/>
      <c r="H577" s="617"/>
      <c r="I577" s="618"/>
      <c r="J577" s="616"/>
      <c r="K577" s="617"/>
      <c r="L577" s="618"/>
      <c r="M577" s="255"/>
      <c r="N577" s="256"/>
      <c r="O577" s="388"/>
      <c r="AA577" s="50"/>
      <c r="AD577" s="244"/>
      <c r="AE577" s="341" t="str">
        <f>IF(OR(AM577="",AM577=0,AJ577="",AG577=""),"",
(IF(AND(AF572=$P$4,AM577&lt;=$R$4),$V$4,0)+IF(AND(AF572=$P$5,AM577&lt;=$R$5),$V$5,0)+IF(AND(AF572=$P$6,AM577&lt;=$R$6),$V$6,0)+IF(AND(AF572=$P$7,AM577&lt;=$R$7),$V$7,0))
)</f>
        <v/>
      </c>
      <c r="AF577" s="153" t="s">
        <v>305</v>
      </c>
      <c r="AG577" s="598"/>
      <c r="AH577" s="599"/>
      <c r="AI577" s="600"/>
      <c r="AJ577" s="598"/>
      <c r="AK577" s="599"/>
      <c r="AL577" s="600"/>
      <c r="AM577" s="384"/>
      <c r="AN577" s="256"/>
      <c r="AO577" s="388"/>
    </row>
    <row r="578" spans="4:50" x14ac:dyDescent="0.3">
      <c r="D578" s="244"/>
      <c r="E578" s="341" t="str">
        <f>IF(OR(M578="",M578=0,J578="",G578=""),"",
(IF(AND(F572=$P$4,M578&lt;=$R$4),$V$4,0)+IF(AND(F572=$P$5,M578&lt;=$R$5),$V$5,0)+IF(AND(F572=$P$6,M578&lt;=$R$6),$V$6,0)+IF(AND(F572=$P$7,M578&lt;=$R$7),$V$7,0))
)</f>
        <v/>
      </c>
      <c r="F578" s="153" t="s">
        <v>306</v>
      </c>
      <c r="G578" s="616"/>
      <c r="H578" s="617"/>
      <c r="I578" s="618"/>
      <c r="J578" s="616"/>
      <c r="K578" s="617"/>
      <c r="L578" s="618"/>
      <c r="M578" s="255"/>
      <c r="N578" s="256"/>
      <c r="O578" s="388"/>
      <c r="AA578" s="50"/>
      <c r="AD578" s="244"/>
      <c r="AE578" s="341" t="str">
        <f>IF(OR(AM578="",AM578=0,AJ578="",AG578=""),"",
(IF(AND(AF572=$P$4,AM578&lt;=$R$4),$V$4,0)+IF(AND(AF572=$P$5,AM578&lt;=$R$5),$V$5,0)+IF(AND(AF572=$P$6,AM578&lt;=$R$6),$V$6,0)+IF(AND(AF572=$P$7,AM578&lt;=$R$7),$V$7,0))
)</f>
        <v/>
      </c>
      <c r="AF578" s="153" t="s">
        <v>306</v>
      </c>
      <c r="AG578" s="598"/>
      <c r="AH578" s="599"/>
      <c r="AI578" s="600"/>
      <c r="AJ578" s="598"/>
      <c r="AK578" s="599"/>
      <c r="AL578" s="600"/>
      <c r="AM578" s="384"/>
      <c r="AN578" s="256"/>
      <c r="AO578" s="388"/>
    </row>
    <row r="579" spans="4:50" x14ac:dyDescent="0.3">
      <c r="D579" s="244"/>
      <c r="E579" s="341" t="str">
        <f>IF(OR(M579="",M579=0,J579="",G579=""),"",
(IF(AND(F572=$P$4,M579&lt;=$R$4),$V$4,0)+IF(AND(F572=$P$5,M579&lt;=$R$5),$V$5,0)+IF(AND(F572=$P$6,M579&lt;=$R$6),$V$6,0)+IF(AND(F572=$P$7,M579&lt;=$R$7),$V$7,0))
)</f>
        <v/>
      </c>
      <c r="F579" s="153" t="s">
        <v>307</v>
      </c>
      <c r="G579" s="616"/>
      <c r="H579" s="617"/>
      <c r="I579" s="618"/>
      <c r="J579" s="616"/>
      <c r="K579" s="617"/>
      <c r="L579" s="618"/>
      <c r="M579" s="255"/>
      <c r="N579" s="256"/>
      <c r="O579" s="388"/>
      <c r="AA579" s="50"/>
      <c r="AD579" s="244"/>
      <c r="AE579" s="341" t="str">
        <f>IF(OR(AM579="",AM579=0,AJ579="",AG579=""),"",
(IF(AND(AF572=$P$4,AM579&lt;=$R$4),$V$4,0)+IF(AND(AF572=$P$5,AM579&lt;=$R$5),$V$5,0)+IF(AND(AF572=$P$6,AM579&lt;=$R$6),$V$6,0)+IF(AND(AF572=$P$7,AM579&lt;=$R$7),$V$7,0))
)</f>
        <v/>
      </c>
      <c r="AF579" s="153" t="s">
        <v>307</v>
      </c>
      <c r="AG579" s="598"/>
      <c r="AH579" s="599"/>
      <c r="AI579" s="600"/>
      <c r="AJ579" s="598"/>
      <c r="AK579" s="599"/>
      <c r="AL579" s="600"/>
      <c r="AM579" s="384"/>
      <c r="AN579" s="256"/>
      <c r="AO579" s="388"/>
    </row>
    <row r="580" spans="4:50" x14ac:dyDescent="0.3">
      <c r="D580" s="244"/>
      <c r="E580" s="341" t="str">
        <f>IF(OR(M580="",M580=0,J580="",G580=""),"",
(IF(AND(F572=$P$4,M580&lt;=$R$4),$V$4,0)+IF(AND(F572=$P$5,M580&lt;=$R$5),$V$5,0)+IF(AND(F572=$P$6,M580&lt;=$R$6),$V$6,0)+IF(AND(F572=$P$7,M580&lt;=$R$7),$V$7,0))
)</f>
        <v/>
      </c>
      <c r="F580" s="153" t="s">
        <v>308</v>
      </c>
      <c r="G580" s="616"/>
      <c r="H580" s="617"/>
      <c r="I580" s="618"/>
      <c r="J580" s="616"/>
      <c r="K580" s="617"/>
      <c r="L580" s="618"/>
      <c r="M580" s="255"/>
      <c r="N580" s="256"/>
      <c r="O580" s="388"/>
      <c r="AA580" s="50"/>
      <c r="AD580" s="244"/>
      <c r="AE580" s="341" t="str">
        <f>IF(OR(AM580="",AM580=0,AJ580="",AG580=""),"",
(IF(AND(AF572=$P$4,AM580&lt;=$R$4),$V$4,0)+IF(AND(AF572=$P$5,AM580&lt;=$R$5),$V$5,0)+IF(AND(AF572=$P$6,AM580&lt;=$R$6),$V$6,0)+IF(AND(AF572=$P$7,AM580&lt;=$R$7),$V$7,0))
)</f>
        <v/>
      </c>
      <c r="AF580" s="153" t="s">
        <v>308</v>
      </c>
      <c r="AG580" s="598"/>
      <c r="AH580" s="599"/>
      <c r="AI580" s="600"/>
      <c r="AJ580" s="598"/>
      <c r="AK580" s="599"/>
      <c r="AL580" s="600"/>
      <c r="AM580" s="384"/>
      <c r="AN580" s="256"/>
      <c r="AO580" s="388"/>
    </row>
    <row r="581" spans="4:50" ht="16.2" thickBot="1" x14ac:dyDescent="0.35">
      <c r="D581" s="203"/>
      <c r="E581" s="3"/>
      <c r="F581" s="3"/>
      <c r="G581" s="3"/>
      <c r="H581" s="3"/>
      <c r="I581" s="3"/>
      <c r="J581" s="3"/>
      <c r="K581" s="3"/>
      <c r="L581" s="3"/>
      <c r="M581" s="3"/>
      <c r="N581" s="204"/>
      <c r="P581" s="2"/>
      <c r="AA581" s="50"/>
      <c r="AD581" s="203"/>
      <c r="AE581" s="3"/>
      <c r="AF581" s="3"/>
      <c r="AG581" s="3"/>
      <c r="AH581" s="3"/>
      <c r="AI581" s="3"/>
      <c r="AJ581" s="3"/>
      <c r="AK581" s="3"/>
      <c r="AL581" s="3"/>
      <c r="AM581" s="3"/>
      <c r="AN581" s="204"/>
      <c r="AP581" s="2"/>
    </row>
    <row r="582" spans="4:50" x14ac:dyDescent="0.3">
      <c r="D582" s="601" t="str">
        <f>IF(
OR(
OR(F584=$P$4,F584=$P$5,F584=$P$6,F584=$P$7),AND(G586="",G587="",G588="",G589="",G590="",G591="",G592="",J586="",J587="",J588="",J589="",J590="",J591="",J592="",M586="",M587="",M588="",M589="",M590="",M591="",M592="",K583="",K584="")
),
"",
"A Set-Aside must be selected."
)</f>
        <v/>
      </c>
      <c r="E582" s="602"/>
      <c r="F582" s="602"/>
      <c r="G582" s="602"/>
      <c r="H582" s="602"/>
      <c r="I582" s="602"/>
      <c r="J582" s="602"/>
      <c r="K582" s="602"/>
      <c r="L582" s="602"/>
      <c r="M582" s="602"/>
      <c r="N582" s="603"/>
      <c r="O582" s="2"/>
      <c r="AA582" s="50"/>
      <c r="AD582" s="601" t="str">
        <f>IF(
OR(
OR(AF584=$P$4,AF584=$P$5,AF584=$P$6,AF584=$P$7),AND(AG586="",AG587="",AG588="",AG589="",AG590="",AG591="",AG592="",AJ586="",AJ587="",AJ588="",AJ589="",AJ590="",AJ591="",AJ592="",AM586="",AM587="",AM588="",AM589="",AM590="",AM591="",AM592="",AK583="",AK584="")
),
"",
"A Set-Aside must be selected."
)</f>
        <v/>
      </c>
      <c r="AE582" s="602"/>
      <c r="AF582" s="602"/>
      <c r="AG582" s="602"/>
      <c r="AH582" s="602"/>
      <c r="AI582" s="602"/>
      <c r="AJ582" s="602"/>
      <c r="AK582" s="602"/>
      <c r="AL582" s="602"/>
      <c r="AM582" s="602"/>
      <c r="AN582" s="603"/>
      <c r="AO582" s="2"/>
    </row>
    <row r="583" spans="4:50" ht="15" customHeight="1" x14ac:dyDescent="0.3">
      <c r="D583" s="199"/>
      <c r="E583" s="9" t="s">
        <v>30</v>
      </c>
      <c r="F583" s="86">
        <f>F571+1</f>
        <v>46</v>
      </c>
      <c r="G583" s="9" t="s">
        <v>175</v>
      </c>
      <c r="H583" s="9"/>
      <c r="I583" s="9"/>
      <c r="J583" s="168" t="s">
        <v>111</v>
      </c>
      <c r="K583" s="148"/>
      <c r="N583" s="200"/>
      <c r="R583" s="596" t="s">
        <v>302</v>
      </c>
      <c r="S583" s="596" t="s">
        <v>303</v>
      </c>
      <c r="T583" s="596" t="s">
        <v>304</v>
      </c>
      <c r="U583" s="596" t="s">
        <v>305</v>
      </c>
      <c r="V583" s="596" t="s">
        <v>306</v>
      </c>
      <c r="W583" s="596" t="s">
        <v>307</v>
      </c>
      <c r="X583" s="596" t="s">
        <v>308</v>
      </c>
      <c r="AA583" s="50"/>
      <c r="AD583" s="199"/>
      <c r="AE583" s="9" t="s">
        <v>30</v>
      </c>
      <c r="AF583" s="86">
        <f>AF571+1</f>
        <v>46</v>
      </c>
      <c r="AG583" s="9" t="s">
        <v>175</v>
      </c>
      <c r="AH583" s="9"/>
      <c r="AI583" s="9"/>
      <c r="AJ583" s="168" t="s">
        <v>111</v>
      </c>
      <c r="AK583" s="382"/>
      <c r="AN583" s="200"/>
      <c r="AR583" s="596" t="s">
        <v>302</v>
      </c>
      <c r="AS583" s="596" t="s">
        <v>303</v>
      </c>
      <c r="AT583" s="596" t="s">
        <v>304</v>
      </c>
      <c r="AU583" s="596" t="s">
        <v>305</v>
      </c>
      <c r="AV583" s="596" t="s">
        <v>306</v>
      </c>
      <c r="AW583" s="596" t="s">
        <v>307</v>
      </c>
      <c r="AX583" s="596" t="s">
        <v>308</v>
      </c>
    </row>
    <row r="584" spans="4:50" ht="15" customHeight="1" x14ac:dyDescent="0.3">
      <c r="D584" s="604" t="s">
        <v>31</v>
      </c>
      <c r="E584" s="594"/>
      <c r="F584" s="151"/>
      <c r="G584" s="86" t="str">
        <f>IF(F584=$P$4,$Q$4,IF(F584=$P$5,$Q$5,IF(F584=$P$6,$Q$6,IF(F584=$P$7,Q$7,IF(F584=$P$8,"","")))))</f>
        <v/>
      </c>
      <c r="H584" s="201"/>
      <c r="I584" s="201"/>
      <c r="J584" s="168" t="s">
        <v>112</v>
      </c>
      <c r="K584" s="148"/>
      <c r="N584" s="200"/>
      <c r="R584" s="596"/>
      <c r="S584" s="596"/>
      <c r="T584" s="596"/>
      <c r="U584" s="596"/>
      <c r="V584" s="596"/>
      <c r="W584" s="596"/>
      <c r="X584" s="596"/>
      <c r="AA584" s="50"/>
      <c r="AD584" s="604" t="s">
        <v>31</v>
      </c>
      <c r="AE584" s="594"/>
      <c r="AF584" s="383"/>
      <c r="AG584" s="86" t="str">
        <f>IF(AF584=$P$4,$Q$4,IF(AF584=$P$5,$Q$5,IF(AF584=$P$6,$Q$6,IF(AF584=$P$7,AQ$7,IF(AF584=$P$8,"","")))))</f>
        <v/>
      </c>
      <c r="AH584" s="201"/>
      <c r="AI584" s="201"/>
      <c r="AJ584" s="168" t="s">
        <v>112</v>
      </c>
      <c r="AK584" s="382"/>
      <c r="AN584" s="200"/>
      <c r="AR584" s="596"/>
      <c r="AS584" s="596"/>
      <c r="AT584" s="596"/>
      <c r="AU584" s="596"/>
      <c r="AV584" s="596"/>
      <c r="AW584" s="596"/>
      <c r="AX584" s="596"/>
    </row>
    <row r="585" spans="4:50" ht="15" customHeight="1" x14ac:dyDescent="0.3">
      <c r="D585" s="244"/>
      <c r="E585" s="230" t="s">
        <v>52</v>
      </c>
      <c r="F585" s="9" t="s">
        <v>32</v>
      </c>
      <c r="G585" s="9" t="s">
        <v>33</v>
      </c>
      <c r="H585" s="9"/>
      <c r="I585" s="9"/>
      <c r="J585" s="9" t="s">
        <v>34</v>
      </c>
      <c r="K585" s="9"/>
      <c r="L585" s="9"/>
      <c r="M585" s="257" t="s">
        <v>35</v>
      </c>
      <c r="N585" s="202"/>
      <c r="O585" s="9"/>
      <c r="P585" s="198" t="s">
        <v>22</v>
      </c>
      <c r="Q585" s="198"/>
      <c r="R585" s="596"/>
      <c r="S585" s="596"/>
      <c r="T585" s="596"/>
      <c r="U585" s="596"/>
      <c r="V585" s="596"/>
      <c r="W585" s="596"/>
      <c r="X585" s="596"/>
      <c r="AA585" s="50"/>
      <c r="AD585" s="244"/>
      <c r="AE585" s="230" t="s">
        <v>52</v>
      </c>
      <c r="AF585" s="9" t="s">
        <v>32</v>
      </c>
      <c r="AG585" s="9" t="s">
        <v>33</v>
      </c>
      <c r="AH585" s="9"/>
      <c r="AI585" s="9"/>
      <c r="AJ585" s="9" t="s">
        <v>34</v>
      </c>
      <c r="AK585" s="9"/>
      <c r="AL585" s="9"/>
      <c r="AM585" s="257" t="s">
        <v>35</v>
      </c>
      <c r="AN585" s="202"/>
      <c r="AO585" s="9"/>
      <c r="AP585" s="198" t="s">
        <v>22</v>
      </c>
      <c r="AQ585" s="198"/>
      <c r="AR585" s="596"/>
      <c r="AS585" s="596"/>
      <c r="AT585" s="596"/>
      <c r="AU585" s="596"/>
      <c r="AV585" s="596"/>
      <c r="AW585" s="596"/>
      <c r="AX585" s="596"/>
    </row>
    <row r="586" spans="4:50" ht="15" customHeight="1" x14ac:dyDescent="0.3">
      <c r="D586" s="244"/>
      <c r="E586" s="355" t="str">
        <f>IF(OR(M586="",M586=0,J586="",G586=""),"",
(IF(AND(F584=$P$4,M586&lt;=$R$4),$V$4,0)+IF(AND(F584=$P$5,M586&lt;=$R$5),$V$5,0)+IF(AND(F584=$P$6,M586&lt;=$R$6),$V$6,0)+IF(AND(F584=$P$7,M586&lt;=$R$7),$V$7,0))
)</f>
        <v/>
      </c>
      <c r="F586" s="153" t="s">
        <v>302</v>
      </c>
      <c r="G586" s="616"/>
      <c r="H586" s="617"/>
      <c r="I586" s="618"/>
      <c r="J586" s="616"/>
      <c r="K586" s="617"/>
      <c r="L586" s="618"/>
      <c r="M586" s="255"/>
      <c r="N586" s="256"/>
      <c r="O586" s="388"/>
      <c r="P586" s="185">
        <f t="shared" ref="P586" si="719">IF(F584="",0,1)</f>
        <v>0</v>
      </c>
      <c r="R586" s="185" t="str">
        <f t="shared" ref="R586" si="720">E586</f>
        <v/>
      </c>
      <c r="S586" s="185" t="str">
        <f t="shared" ref="S586" si="721">E587</f>
        <v/>
      </c>
      <c r="T586" s="185" t="str">
        <f t="shared" ref="T586" si="722">E588</f>
        <v/>
      </c>
      <c r="U586" s="185" t="str">
        <f t="shared" ref="U586" si="723">E589</f>
        <v/>
      </c>
      <c r="V586" s="185" t="str">
        <f t="shared" ref="V586" si="724">E590</f>
        <v/>
      </c>
      <c r="W586" s="185" t="str">
        <f t="shared" ref="W586" si="725">E591</f>
        <v/>
      </c>
      <c r="X586" s="185" t="str">
        <f t="shared" ref="X586" si="726">E592</f>
        <v/>
      </c>
      <c r="AA586" s="50"/>
      <c r="AD586" s="244"/>
      <c r="AE586" s="355" t="str">
        <f>IF(OR(AM586="",AM586=0,AJ586="",AG586=""),"",
(IF(AND(AF584=$P$4,AM586&lt;=$R$4),$V$4,0)+IF(AND(AF584=$P$5,AM586&lt;=$R$5),$V$5,0)+IF(AND(AF584=$P$6,AM586&lt;=$R$6),$V$6,0)+IF(AND(AF584=$P$7,AM586&lt;=$R$7),$V$7,0))
)</f>
        <v/>
      </c>
      <c r="AF586" s="153" t="s">
        <v>302</v>
      </c>
      <c r="AG586" s="598"/>
      <c r="AH586" s="599"/>
      <c r="AI586" s="600"/>
      <c r="AJ586" s="598"/>
      <c r="AK586" s="599"/>
      <c r="AL586" s="600"/>
      <c r="AM586" s="384"/>
      <c r="AN586" s="256"/>
      <c r="AO586" s="388"/>
      <c r="AP586" s="185">
        <f t="shared" ref="AP586" si="727">IF(AF584="",0,1)</f>
        <v>0</v>
      </c>
      <c r="AR586" s="185" t="str">
        <f t="shared" ref="AR586" si="728">AE586</f>
        <v/>
      </c>
      <c r="AS586" s="185" t="str">
        <f t="shared" ref="AS586" si="729">AE587</f>
        <v/>
      </c>
      <c r="AT586" s="185" t="str">
        <f t="shared" ref="AT586" si="730">AE588</f>
        <v/>
      </c>
      <c r="AU586" s="185" t="str">
        <f t="shared" ref="AU586" si="731">AE589</f>
        <v/>
      </c>
      <c r="AV586" s="185" t="str">
        <f t="shared" ref="AV586" si="732">AE590</f>
        <v/>
      </c>
      <c r="AW586" s="185" t="str">
        <f t="shared" ref="AW586" si="733">AE591</f>
        <v/>
      </c>
      <c r="AX586" s="185" t="str">
        <f t="shared" ref="AX586" si="734">AE592</f>
        <v/>
      </c>
    </row>
    <row r="587" spans="4:50" ht="15" customHeight="1" x14ac:dyDescent="0.3">
      <c r="D587" s="244"/>
      <c r="E587" s="341" t="str">
        <f>IF(OR(M587="",M587=0,J587="",G587=""),"",
(IF(AND(F584=$P$4,M587&lt;=$R$4),$V$4,0)+IF(AND(F584=$P$5,M587&lt;=$R$5),$V$5,0)+IF(AND(F584=$P$6,M587&lt;=$R$6),$V$6,0)+IF(AND(F584=$P$7,M587&lt;=$R$7),$V$7,0))
)</f>
        <v/>
      </c>
      <c r="F587" s="153" t="s">
        <v>303</v>
      </c>
      <c r="G587" s="616"/>
      <c r="H587" s="617"/>
      <c r="I587" s="618"/>
      <c r="J587" s="616"/>
      <c r="K587" s="617"/>
      <c r="L587" s="618"/>
      <c r="M587" s="255"/>
      <c r="N587" s="256"/>
      <c r="O587" s="388"/>
      <c r="AA587" s="50"/>
      <c r="AD587" s="244"/>
      <c r="AE587" s="341" t="str">
        <f>IF(OR(AM587="",AM587=0,AJ587="",AG587=""),"",
(IF(AND(AF584=$P$4,AM587&lt;=$R$4),$V$4,0)+IF(AND(AF584=$P$5,AM587&lt;=$R$5),$V$5,0)+IF(AND(AF584=$P$6,AM587&lt;=$R$6),$V$6,0)+IF(AND(AF584=$P$7,AM587&lt;=$R$7),$V$7,0))
)</f>
        <v/>
      </c>
      <c r="AF587" s="153" t="s">
        <v>303</v>
      </c>
      <c r="AG587" s="598"/>
      <c r="AH587" s="599"/>
      <c r="AI587" s="600"/>
      <c r="AJ587" s="598"/>
      <c r="AK587" s="599"/>
      <c r="AL587" s="600"/>
      <c r="AM587" s="384"/>
      <c r="AN587" s="256"/>
      <c r="AO587" s="388"/>
    </row>
    <row r="588" spans="4:50" x14ac:dyDescent="0.3">
      <c r="D588" s="244"/>
      <c r="E588" s="341" t="str">
        <f>IF(OR(M588="",M588=0,J588="",G588=""),"",
(IF(AND(F584=$P$4,M588&lt;=$R$4),$V$4,0)+IF(AND(F584=$P$5,M588&lt;=$R$5),$V$5,0)+IF(AND(F584=$P$6,M588&lt;=$R$6),$V$6,0)+IF(AND(F584=$P$7,M588&lt;=$R$7),$V$7,0))
)</f>
        <v/>
      </c>
      <c r="F588" s="153" t="s">
        <v>304</v>
      </c>
      <c r="G588" s="616"/>
      <c r="H588" s="617"/>
      <c r="I588" s="618"/>
      <c r="J588" s="616"/>
      <c r="K588" s="617"/>
      <c r="L588" s="618"/>
      <c r="M588" s="255"/>
      <c r="N588" s="256"/>
      <c r="O588" s="388"/>
      <c r="AA588" s="50"/>
      <c r="AD588" s="244"/>
      <c r="AE588" s="341" t="str">
        <f>IF(OR(AM588="",AM588=0,AJ588="",AG588=""),"",
(IF(AND(AF584=$P$4,AM588&lt;=$R$4),$V$4,0)+IF(AND(AF584=$P$5,AM588&lt;=$R$5),$V$5,0)+IF(AND(AF584=$P$6,AM588&lt;=$R$6),$V$6,0)+IF(AND(AF584=$P$7,AM588&lt;=$R$7),$V$7,0))
)</f>
        <v/>
      </c>
      <c r="AF588" s="153" t="s">
        <v>304</v>
      </c>
      <c r="AG588" s="598"/>
      <c r="AH588" s="599"/>
      <c r="AI588" s="600"/>
      <c r="AJ588" s="598"/>
      <c r="AK588" s="599"/>
      <c r="AL588" s="600"/>
      <c r="AM588" s="384"/>
      <c r="AN588" s="256"/>
      <c r="AO588" s="388"/>
    </row>
    <row r="589" spans="4:50" x14ac:dyDescent="0.3">
      <c r="D589" s="244"/>
      <c r="E589" s="341" t="str">
        <f>IF(OR(M589="",M589=0,J589="",G589=""),"",
(IF(AND(F584=$P$4,M589&lt;=$R$4),$V$4,0)+IF(AND(F584=$P$5,M589&lt;=$R$5),$V$5,0)+IF(AND(F584=$P$6,M589&lt;=$R$6),$V$6,0)+IF(AND(F584=$P$7,M589&lt;=$R$7),$V$7,0))
)</f>
        <v/>
      </c>
      <c r="F589" s="153" t="s">
        <v>305</v>
      </c>
      <c r="G589" s="616"/>
      <c r="H589" s="617"/>
      <c r="I589" s="618"/>
      <c r="J589" s="616"/>
      <c r="K589" s="617"/>
      <c r="L589" s="618"/>
      <c r="M589" s="255"/>
      <c r="N589" s="256"/>
      <c r="O589" s="388"/>
      <c r="AA589" s="50"/>
      <c r="AD589" s="244"/>
      <c r="AE589" s="341" t="str">
        <f>IF(OR(AM589="",AM589=0,AJ589="",AG589=""),"",
(IF(AND(AF584=$P$4,AM589&lt;=$R$4),$V$4,0)+IF(AND(AF584=$P$5,AM589&lt;=$R$5),$V$5,0)+IF(AND(AF584=$P$6,AM589&lt;=$R$6),$V$6,0)+IF(AND(AF584=$P$7,AM589&lt;=$R$7),$V$7,0))
)</f>
        <v/>
      </c>
      <c r="AF589" s="153" t="s">
        <v>305</v>
      </c>
      <c r="AG589" s="598"/>
      <c r="AH589" s="599"/>
      <c r="AI589" s="600"/>
      <c r="AJ589" s="598"/>
      <c r="AK589" s="599"/>
      <c r="AL589" s="600"/>
      <c r="AM589" s="384"/>
      <c r="AN589" s="256"/>
      <c r="AO589" s="388"/>
    </row>
    <row r="590" spans="4:50" x14ac:dyDescent="0.3">
      <c r="D590" s="244"/>
      <c r="E590" s="341" t="str">
        <f>IF(OR(M590="",M590=0,J590="",G590=""),"",
(IF(AND(F584=$P$4,M590&lt;=$R$4),$V$4,0)+IF(AND(F584=$P$5,M590&lt;=$R$5),$V$5,0)+IF(AND(F584=$P$6,M590&lt;=$R$6),$V$6,0)+IF(AND(F584=$P$7,M590&lt;=$R$7),$V$7,0))
)</f>
        <v/>
      </c>
      <c r="F590" s="153" t="s">
        <v>306</v>
      </c>
      <c r="G590" s="616"/>
      <c r="H590" s="617"/>
      <c r="I590" s="618"/>
      <c r="J590" s="616"/>
      <c r="K590" s="617"/>
      <c r="L590" s="618"/>
      <c r="M590" s="255"/>
      <c r="N590" s="256"/>
      <c r="O590" s="388"/>
      <c r="AA590" s="50"/>
      <c r="AD590" s="244"/>
      <c r="AE590" s="341" t="str">
        <f>IF(OR(AM590="",AM590=0,AJ590="",AG590=""),"",
(IF(AND(AF584=$P$4,AM590&lt;=$R$4),$V$4,0)+IF(AND(AF584=$P$5,AM590&lt;=$R$5),$V$5,0)+IF(AND(AF584=$P$6,AM590&lt;=$R$6),$V$6,0)+IF(AND(AF584=$P$7,AM590&lt;=$R$7),$V$7,0))
)</f>
        <v/>
      </c>
      <c r="AF590" s="153" t="s">
        <v>306</v>
      </c>
      <c r="AG590" s="598"/>
      <c r="AH590" s="599"/>
      <c r="AI590" s="600"/>
      <c r="AJ590" s="598"/>
      <c r="AK590" s="599"/>
      <c r="AL590" s="600"/>
      <c r="AM590" s="384"/>
      <c r="AN590" s="256"/>
      <c r="AO590" s="388"/>
    </row>
    <row r="591" spans="4:50" x14ac:dyDescent="0.3">
      <c r="D591" s="244"/>
      <c r="E591" s="341" t="str">
        <f>IF(OR(M591="",M591=0,J591="",G591=""),"",
(IF(AND(F584=$P$4,M591&lt;=$R$4),$V$4,0)+IF(AND(F584=$P$5,M591&lt;=$R$5),$V$5,0)+IF(AND(F584=$P$6,M591&lt;=$R$6),$V$6,0)+IF(AND(F584=$P$7,M591&lt;=$R$7),$V$7,0))
)</f>
        <v/>
      </c>
      <c r="F591" s="153" t="s">
        <v>307</v>
      </c>
      <c r="G591" s="616"/>
      <c r="H591" s="617"/>
      <c r="I591" s="618"/>
      <c r="J591" s="616"/>
      <c r="K591" s="617"/>
      <c r="L591" s="618"/>
      <c r="M591" s="255"/>
      <c r="N591" s="256"/>
      <c r="O591" s="388"/>
      <c r="AA591" s="50"/>
      <c r="AD591" s="244"/>
      <c r="AE591" s="341" t="str">
        <f>IF(OR(AM591="",AM591=0,AJ591="",AG591=""),"",
(IF(AND(AF584=$P$4,AM591&lt;=$R$4),$V$4,0)+IF(AND(AF584=$P$5,AM591&lt;=$R$5),$V$5,0)+IF(AND(AF584=$P$6,AM591&lt;=$R$6),$V$6,0)+IF(AND(AF584=$P$7,AM591&lt;=$R$7),$V$7,0))
)</f>
        <v/>
      </c>
      <c r="AF591" s="153" t="s">
        <v>307</v>
      </c>
      <c r="AG591" s="598"/>
      <c r="AH591" s="599"/>
      <c r="AI591" s="600"/>
      <c r="AJ591" s="598"/>
      <c r="AK591" s="599"/>
      <c r="AL591" s="600"/>
      <c r="AM591" s="384"/>
      <c r="AN591" s="256"/>
      <c r="AO591" s="388"/>
    </row>
    <row r="592" spans="4:50" x14ac:dyDescent="0.3">
      <c r="D592" s="244"/>
      <c r="E592" s="341" t="str">
        <f>IF(OR(M592="",M592=0,J592="",G592=""),"",
(IF(AND(F584=$P$4,M592&lt;=$R$4),$V$4,0)+IF(AND(F584=$P$5,M592&lt;=$R$5),$V$5,0)+IF(AND(F584=$P$6,M592&lt;=$R$6),$V$6,0)+IF(AND(F584=$P$7,M592&lt;=$R$7),$V$7,0))
)</f>
        <v/>
      </c>
      <c r="F592" s="153" t="s">
        <v>308</v>
      </c>
      <c r="G592" s="616"/>
      <c r="H592" s="617"/>
      <c r="I592" s="618"/>
      <c r="J592" s="616"/>
      <c r="K592" s="617"/>
      <c r="L592" s="618"/>
      <c r="M592" s="255"/>
      <c r="N592" s="256"/>
      <c r="O592" s="388"/>
      <c r="AA592" s="50"/>
      <c r="AD592" s="244"/>
      <c r="AE592" s="341" t="str">
        <f>IF(OR(AM592="",AM592=0,AJ592="",AG592=""),"",
(IF(AND(AF584=$P$4,AM592&lt;=$R$4),$V$4,0)+IF(AND(AF584=$P$5,AM592&lt;=$R$5),$V$5,0)+IF(AND(AF584=$P$6,AM592&lt;=$R$6),$V$6,0)+IF(AND(AF584=$P$7,AM592&lt;=$R$7),$V$7,0))
)</f>
        <v/>
      </c>
      <c r="AF592" s="153" t="s">
        <v>308</v>
      </c>
      <c r="AG592" s="598"/>
      <c r="AH592" s="599"/>
      <c r="AI592" s="600"/>
      <c r="AJ592" s="598"/>
      <c r="AK592" s="599"/>
      <c r="AL592" s="600"/>
      <c r="AM592" s="384"/>
      <c r="AN592" s="256"/>
      <c r="AO592" s="388"/>
    </row>
    <row r="593" spans="4:50" ht="15" customHeight="1" thickBot="1" x14ac:dyDescent="0.35">
      <c r="D593" s="203"/>
      <c r="E593" s="3"/>
      <c r="F593" s="3"/>
      <c r="G593" s="3"/>
      <c r="H593" s="3"/>
      <c r="I593" s="3"/>
      <c r="J593" s="3"/>
      <c r="K593" s="3"/>
      <c r="L593" s="3"/>
      <c r="M593" s="3"/>
      <c r="N593" s="204"/>
      <c r="P593" s="2"/>
      <c r="AA593" s="50"/>
      <c r="AD593" s="203"/>
      <c r="AE593" s="3"/>
      <c r="AF593" s="3"/>
      <c r="AG593" s="3"/>
      <c r="AH593" s="3"/>
      <c r="AI593" s="3"/>
      <c r="AJ593" s="3"/>
      <c r="AK593" s="3"/>
      <c r="AL593" s="3"/>
      <c r="AM593" s="3"/>
      <c r="AN593" s="204"/>
      <c r="AP593" s="2"/>
    </row>
    <row r="594" spans="4:50" ht="15" customHeight="1" x14ac:dyDescent="0.3">
      <c r="D594" s="601" t="str">
        <f>IF(
OR(
OR(F596=$P$4,F596=$P$5,F596=$P$6,F596=$P$7),AND(G598="",G599="",G600="",G601="",G602="",G603="",G604="",J598="",J599="",J600="",J601="",J602="",J603="",J604="",M598="",M599="",M600="",M601="",M602="",M603="",M604="",K595="",K596="")
),
"",
"A Set-Aside must be selected."
)</f>
        <v/>
      </c>
      <c r="E594" s="602"/>
      <c r="F594" s="602"/>
      <c r="G594" s="602"/>
      <c r="H594" s="602"/>
      <c r="I594" s="602"/>
      <c r="J594" s="602"/>
      <c r="K594" s="602"/>
      <c r="L594" s="602"/>
      <c r="M594" s="602"/>
      <c r="N594" s="603"/>
      <c r="O594" s="2"/>
      <c r="AA594" s="50"/>
      <c r="AD594" s="601" t="str">
        <f>IF(
OR(
OR(AF596=$P$4,AF596=$P$5,AF596=$P$6,AF596=$P$7),AND(AG598="",AG599="",AG600="",AG601="",AG602="",AG603="",AG604="",AJ598="",AJ599="",AJ600="",AJ601="",AJ602="",AJ603="",AJ604="",AM598="",AM599="",AM600="",AM601="",AM602="",AM603="",AM604="",AK595="",AK596="")
),
"",
"A Set-Aside must be selected."
)</f>
        <v/>
      </c>
      <c r="AE594" s="602"/>
      <c r="AF594" s="602"/>
      <c r="AG594" s="602"/>
      <c r="AH594" s="602"/>
      <c r="AI594" s="602"/>
      <c r="AJ594" s="602"/>
      <c r="AK594" s="602"/>
      <c r="AL594" s="602"/>
      <c r="AM594" s="602"/>
      <c r="AN594" s="603"/>
      <c r="AO594" s="2"/>
    </row>
    <row r="595" spans="4:50" ht="15" customHeight="1" x14ac:dyDescent="0.3">
      <c r="D595" s="199"/>
      <c r="E595" s="9" t="s">
        <v>30</v>
      </c>
      <c r="F595" s="86">
        <f>F583+1</f>
        <v>47</v>
      </c>
      <c r="G595" s="9" t="s">
        <v>175</v>
      </c>
      <c r="H595" s="9"/>
      <c r="I595" s="9"/>
      <c r="J595" s="168" t="s">
        <v>111</v>
      </c>
      <c r="K595" s="148"/>
      <c r="N595" s="200"/>
      <c r="R595" s="596" t="s">
        <v>302</v>
      </c>
      <c r="S595" s="596" t="s">
        <v>303</v>
      </c>
      <c r="T595" s="596" t="s">
        <v>304</v>
      </c>
      <c r="U595" s="596" t="s">
        <v>305</v>
      </c>
      <c r="V595" s="596" t="s">
        <v>306</v>
      </c>
      <c r="W595" s="596" t="s">
        <v>307</v>
      </c>
      <c r="X595" s="596" t="s">
        <v>308</v>
      </c>
      <c r="AA595" s="50"/>
      <c r="AD595" s="199"/>
      <c r="AE595" s="9" t="s">
        <v>30</v>
      </c>
      <c r="AF595" s="86">
        <f>AF583+1</f>
        <v>47</v>
      </c>
      <c r="AG595" s="9" t="s">
        <v>175</v>
      </c>
      <c r="AH595" s="9"/>
      <c r="AI595" s="9"/>
      <c r="AJ595" s="168" t="s">
        <v>111</v>
      </c>
      <c r="AK595" s="382"/>
      <c r="AN595" s="200"/>
      <c r="AR595" s="596" t="s">
        <v>302</v>
      </c>
      <c r="AS595" s="596" t="s">
        <v>303</v>
      </c>
      <c r="AT595" s="596" t="s">
        <v>304</v>
      </c>
      <c r="AU595" s="596" t="s">
        <v>305</v>
      </c>
      <c r="AV595" s="596" t="s">
        <v>306</v>
      </c>
      <c r="AW595" s="596" t="s">
        <v>307</v>
      </c>
      <c r="AX595" s="596" t="s">
        <v>308</v>
      </c>
    </row>
    <row r="596" spans="4:50" ht="15" customHeight="1" x14ac:dyDescent="0.3">
      <c r="D596" s="604" t="s">
        <v>31</v>
      </c>
      <c r="E596" s="594"/>
      <c r="F596" s="151"/>
      <c r="G596" s="86" t="str">
        <f>IF(F596=$P$4,$Q$4,IF(F596=$P$5,$Q$5,IF(F596=$P$6,$Q$6,IF(F596=$P$7,Q$7,IF(F596=$P$8,"","")))))</f>
        <v/>
      </c>
      <c r="H596" s="201"/>
      <c r="I596" s="201"/>
      <c r="J596" s="168" t="s">
        <v>112</v>
      </c>
      <c r="K596" s="148"/>
      <c r="N596" s="200"/>
      <c r="R596" s="596"/>
      <c r="S596" s="596"/>
      <c r="T596" s="596"/>
      <c r="U596" s="596"/>
      <c r="V596" s="596"/>
      <c r="W596" s="596"/>
      <c r="X596" s="596"/>
      <c r="AA596" s="50"/>
      <c r="AD596" s="604" t="s">
        <v>31</v>
      </c>
      <c r="AE596" s="594"/>
      <c r="AF596" s="383"/>
      <c r="AG596" s="86" t="str">
        <f>IF(AF596=$P$4,$Q$4,IF(AF596=$P$5,$Q$5,IF(AF596=$P$6,$Q$6,IF(AF596=$P$7,AQ$7,IF(AF596=$P$8,"","")))))</f>
        <v/>
      </c>
      <c r="AH596" s="201"/>
      <c r="AI596" s="201"/>
      <c r="AJ596" s="168" t="s">
        <v>112</v>
      </c>
      <c r="AK596" s="382"/>
      <c r="AN596" s="200"/>
      <c r="AR596" s="596"/>
      <c r="AS596" s="596"/>
      <c r="AT596" s="596"/>
      <c r="AU596" s="596"/>
      <c r="AV596" s="596"/>
      <c r="AW596" s="596"/>
      <c r="AX596" s="596"/>
    </row>
    <row r="597" spans="4:50" ht="15" customHeight="1" x14ac:dyDescent="0.3">
      <c r="D597" s="244"/>
      <c r="E597" s="230" t="s">
        <v>52</v>
      </c>
      <c r="F597" s="9" t="s">
        <v>32</v>
      </c>
      <c r="G597" s="9" t="s">
        <v>33</v>
      </c>
      <c r="H597" s="9"/>
      <c r="I597" s="9"/>
      <c r="J597" s="9" t="s">
        <v>34</v>
      </c>
      <c r="K597" s="9"/>
      <c r="L597" s="9"/>
      <c r="M597" s="257" t="s">
        <v>35</v>
      </c>
      <c r="N597" s="202"/>
      <c r="O597" s="9"/>
      <c r="P597" s="198" t="s">
        <v>22</v>
      </c>
      <c r="Q597" s="198"/>
      <c r="R597" s="596"/>
      <c r="S597" s="596"/>
      <c r="T597" s="596"/>
      <c r="U597" s="596"/>
      <c r="V597" s="596"/>
      <c r="W597" s="596"/>
      <c r="X597" s="596"/>
      <c r="AA597" s="50"/>
      <c r="AD597" s="244"/>
      <c r="AE597" s="230" t="s">
        <v>52</v>
      </c>
      <c r="AF597" s="9" t="s">
        <v>32</v>
      </c>
      <c r="AG597" s="9" t="s">
        <v>33</v>
      </c>
      <c r="AH597" s="9"/>
      <c r="AI597" s="9"/>
      <c r="AJ597" s="9" t="s">
        <v>34</v>
      </c>
      <c r="AK597" s="9"/>
      <c r="AL597" s="9"/>
      <c r="AM597" s="257" t="s">
        <v>35</v>
      </c>
      <c r="AN597" s="202"/>
      <c r="AO597" s="9"/>
      <c r="AP597" s="198" t="s">
        <v>22</v>
      </c>
      <c r="AQ597" s="198"/>
      <c r="AR597" s="596"/>
      <c r="AS597" s="596"/>
      <c r="AT597" s="596"/>
      <c r="AU597" s="596"/>
      <c r="AV597" s="596"/>
      <c r="AW597" s="596"/>
      <c r="AX597" s="596"/>
    </row>
    <row r="598" spans="4:50" x14ac:dyDescent="0.3">
      <c r="D598" s="244"/>
      <c r="E598" s="355" t="str">
        <f>IF(OR(M598="",M598=0,J598="",G598=""),"",
(IF(AND(F596=$P$4,M598&lt;=$R$4),$V$4,0)+IF(AND(F596=$P$5,M598&lt;=$R$5),$V$5,0)+IF(AND(F596=$P$6,M598&lt;=$R$6),$V$6,0)+IF(AND(F596=$P$7,M598&lt;=$R$7),$V$7,0))
)</f>
        <v/>
      </c>
      <c r="F598" s="153" t="s">
        <v>302</v>
      </c>
      <c r="G598" s="616"/>
      <c r="H598" s="617"/>
      <c r="I598" s="618"/>
      <c r="J598" s="616"/>
      <c r="K598" s="617"/>
      <c r="L598" s="618"/>
      <c r="M598" s="255"/>
      <c r="N598" s="256"/>
      <c r="O598" s="388"/>
      <c r="P598" s="185">
        <f t="shared" ref="P598" si="735">IF(F596="",0,1)</f>
        <v>0</v>
      </c>
      <c r="R598" s="185" t="str">
        <f t="shared" ref="R598" si="736">E598</f>
        <v/>
      </c>
      <c r="S598" s="185" t="str">
        <f t="shared" ref="S598" si="737">E599</f>
        <v/>
      </c>
      <c r="T598" s="185" t="str">
        <f t="shared" ref="T598" si="738">E600</f>
        <v/>
      </c>
      <c r="U598" s="185" t="str">
        <f t="shared" ref="U598" si="739">E601</f>
        <v/>
      </c>
      <c r="V598" s="185" t="str">
        <f t="shared" ref="V598" si="740">E602</f>
        <v/>
      </c>
      <c r="W598" s="185" t="str">
        <f t="shared" ref="W598" si="741">E603</f>
        <v/>
      </c>
      <c r="X598" s="185" t="str">
        <f t="shared" ref="X598" si="742">E604</f>
        <v/>
      </c>
      <c r="AA598" s="50"/>
      <c r="AD598" s="244"/>
      <c r="AE598" s="355" t="str">
        <f>IF(OR(AM598="",AM598=0,AJ598="",AG598=""),"",
(IF(AND(AF596=$P$4,AM598&lt;=$R$4),$V$4,0)+IF(AND(AF596=$P$5,AM598&lt;=$R$5),$V$5,0)+IF(AND(AF596=$P$6,AM598&lt;=$R$6),$V$6,0)+IF(AND(AF596=$P$7,AM598&lt;=$R$7),$V$7,0))
)</f>
        <v/>
      </c>
      <c r="AF598" s="153" t="s">
        <v>302</v>
      </c>
      <c r="AG598" s="598"/>
      <c r="AH598" s="599"/>
      <c r="AI598" s="600"/>
      <c r="AJ598" s="598"/>
      <c r="AK598" s="599"/>
      <c r="AL598" s="600"/>
      <c r="AM598" s="384"/>
      <c r="AN598" s="256"/>
      <c r="AO598" s="388"/>
      <c r="AP598" s="185">
        <f t="shared" ref="AP598" si="743">IF(AF596="",0,1)</f>
        <v>0</v>
      </c>
      <c r="AR598" s="185" t="str">
        <f t="shared" ref="AR598" si="744">AE598</f>
        <v/>
      </c>
      <c r="AS598" s="185" t="str">
        <f t="shared" ref="AS598" si="745">AE599</f>
        <v/>
      </c>
      <c r="AT598" s="185" t="str">
        <f t="shared" ref="AT598" si="746">AE600</f>
        <v/>
      </c>
      <c r="AU598" s="185" t="str">
        <f t="shared" ref="AU598" si="747">AE601</f>
        <v/>
      </c>
      <c r="AV598" s="185" t="str">
        <f t="shared" ref="AV598" si="748">AE602</f>
        <v/>
      </c>
      <c r="AW598" s="185" t="str">
        <f t="shared" ref="AW598" si="749">AE603</f>
        <v/>
      </c>
      <c r="AX598" s="185" t="str">
        <f t="shared" ref="AX598" si="750">AE604</f>
        <v/>
      </c>
    </row>
    <row r="599" spans="4:50" x14ac:dyDescent="0.3">
      <c r="D599" s="244"/>
      <c r="E599" s="341" t="str">
        <f>IF(OR(M599="",M599=0,J599="",G599=""),"",
(IF(AND(F596=$P$4,M599&lt;=$R$4),$V$4,0)+IF(AND(F596=$P$5,M599&lt;=$R$5),$V$5,0)+IF(AND(F596=$P$6,M599&lt;=$R$6),$V$6,0)+IF(AND(F596=$P$7,M599&lt;=$R$7),$V$7,0))
)</f>
        <v/>
      </c>
      <c r="F599" s="153" t="s">
        <v>303</v>
      </c>
      <c r="G599" s="616"/>
      <c r="H599" s="617"/>
      <c r="I599" s="618"/>
      <c r="J599" s="616"/>
      <c r="K599" s="617"/>
      <c r="L599" s="618"/>
      <c r="M599" s="255"/>
      <c r="N599" s="256"/>
      <c r="O599" s="388"/>
      <c r="AA599" s="50"/>
      <c r="AD599" s="244"/>
      <c r="AE599" s="341" t="str">
        <f>IF(OR(AM599="",AM599=0,AJ599="",AG599=""),"",
(IF(AND(AF596=$P$4,AM599&lt;=$R$4),$V$4,0)+IF(AND(AF596=$P$5,AM599&lt;=$R$5),$V$5,0)+IF(AND(AF596=$P$6,AM599&lt;=$R$6),$V$6,0)+IF(AND(AF596=$P$7,AM599&lt;=$R$7),$V$7,0))
)</f>
        <v/>
      </c>
      <c r="AF599" s="153" t="s">
        <v>303</v>
      </c>
      <c r="AG599" s="598"/>
      <c r="AH599" s="599"/>
      <c r="AI599" s="600"/>
      <c r="AJ599" s="598"/>
      <c r="AK599" s="599"/>
      <c r="AL599" s="600"/>
      <c r="AM599" s="384"/>
      <c r="AN599" s="256"/>
      <c r="AO599" s="388"/>
    </row>
    <row r="600" spans="4:50" x14ac:dyDescent="0.3">
      <c r="D600" s="244"/>
      <c r="E600" s="341" t="str">
        <f>IF(OR(M600="",M600=0,J600="",G600=""),"",
(IF(AND(F596=$P$4,M600&lt;=$R$4),$V$4,0)+IF(AND(F596=$P$5,M600&lt;=$R$5),$V$5,0)+IF(AND(F596=$P$6,M600&lt;=$R$6),$V$6,0)+IF(AND(F596=$P$7,M600&lt;=$R$7),$V$7,0))
)</f>
        <v/>
      </c>
      <c r="F600" s="153" t="s">
        <v>304</v>
      </c>
      <c r="G600" s="616"/>
      <c r="H600" s="617"/>
      <c r="I600" s="618"/>
      <c r="J600" s="616"/>
      <c r="K600" s="617"/>
      <c r="L600" s="618"/>
      <c r="M600" s="255"/>
      <c r="N600" s="256"/>
      <c r="O600" s="388"/>
      <c r="AA600" s="50"/>
      <c r="AD600" s="244"/>
      <c r="AE600" s="341" t="str">
        <f>IF(OR(AM600="",AM600=0,AJ600="",AG600=""),"",
(IF(AND(AF596=$P$4,AM600&lt;=$R$4),$V$4,0)+IF(AND(AF596=$P$5,AM600&lt;=$R$5),$V$5,0)+IF(AND(AF596=$P$6,AM600&lt;=$R$6),$V$6,0)+IF(AND(AF596=$P$7,AM600&lt;=$R$7),$V$7,0))
)</f>
        <v/>
      </c>
      <c r="AF600" s="153" t="s">
        <v>304</v>
      </c>
      <c r="AG600" s="598"/>
      <c r="AH600" s="599"/>
      <c r="AI600" s="600"/>
      <c r="AJ600" s="598"/>
      <c r="AK600" s="599"/>
      <c r="AL600" s="600"/>
      <c r="AM600" s="384"/>
      <c r="AN600" s="256"/>
      <c r="AO600" s="388"/>
    </row>
    <row r="601" spans="4:50" x14ac:dyDescent="0.3">
      <c r="D601" s="244"/>
      <c r="E601" s="341" t="str">
        <f>IF(OR(M601="",M601=0,J601="",G601=""),"",
(IF(AND(F596=$P$4,M601&lt;=$R$4),$V$4,0)+IF(AND(F596=$P$5,M601&lt;=$R$5),$V$5,0)+IF(AND(F596=$P$6,M601&lt;=$R$6),$V$6,0)+IF(AND(F596=$P$7,M601&lt;=$R$7),$V$7,0))
)</f>
        <v/>
      </c>
      <c r="F601" s="153" t="s">
        <v>305</v>
      </c>
      <c r="G601" s="616"/>
      <c r="H601" s="617"/>
      <c r="I601" s="618"/>
      <c r="J601" s="616"/>
      <c r="K601" s="617"/>
      <c r="L601" s="618"/>
      <c r="M601" s="255"/>
      <c r="N601" s="256"/>
      <c r="O601" s="388"/>
      <c r="AA601" s="50"/>
      <c r="AD601" s="244"/>
      <c r="AE601" s="341" t="str">
        <f>IF(OR(AM601="",AM601=0,AJ601="",AG601=""),"",
(IF(AND(AF596=$P$4,AM601&lt;=$R$4),$V$4,0)+IF(AND(AF596=$P$5,AM601&lt;=$R$5),$V$5,0)+IF(AND(AF596=$P$6,AM601&lt;=$R$6),$V$6,0)+IF(AND(AF596=$P$7,AM601&lt;=$R$7),$V$7,0))
)</f>
        <v/>
      </c>
      <c r="AF601" s="153" t="s">
        <v>305</v>
      </c>
      <c r="AG601" s="598"/>
      <c r="AH601" s="599"/>
      <c r="AI601" s="600"/>
      <c r="AJ601" s="598"/>
      <c r="AK601" s="599"/>
      <c r="AL601" s="600"/>
      <c r="AM601" s="384"/>
      <c r="AN601" s="256"/>
      <c r="AO601" s="388"/>
    </row>
    <row r="602" spans="4:50" x14ac:dyDescent="0.3">
      <c r="D602" s="244"/>
      <c r="E602" s="341" t="str">
        <f>IF(OR(M602="",M602=0,J602="",G602=""),"",
(IF(AND(F596=$P$4,M602&lt;=$R$4),$V$4,0)+IF(AND(F596=$P$5,M602&lt;=$R$5),$V$5,0)+IF(AND(F596=$P$6,M602&lt;=$R$6),$V$6,0)+IF(AND(F596=$P$7,M602&lt;=$R$7),$V$7,0))
)</f>
        <v/>
      </c>
      <c r="F602" s="153" t="s">
        <v>306</v>
      </c>
      <c r="G602" s="616"/>
      <c r="H602" s="617"/>
      <c r="I602" s="618"/>
      <c r="J602" s="616"/>
      <c r="K602" s="617"/>
      <c r="L602" s="618"/>
      <c r="M602" s="255"/>
      <c r="N602" s="256"/>
      <c r="O602" s="388"/>
      <c r="AA602" s="50"/>
      <c r="AD602" s="244"/>
      <c r="AE602" s="341" t="str">
        <f>IF(OR(AM602="",AM602=0,AJ602="",AG602=""),"",
(IF(AND(AF596=$P$4,AM602&lt;=$R$4),$V$4,0)+IF(AND(AF596=$P$5,AM602&lt;=$R$5),$V$5,0)+IF(AND(AF596=$P$6,AM602&lt;=$R$6),$V$6,0)+IF(AND(AF596=$P$7,AM602&lt;=$R$7),$V$7,0))
)</f>
        <v/>
      </c>
      <c r="AF602" s="153" t="s">
        <v>306</v>
      </c>
      <c r="AG602" s="598"/>
      <c r="AH602" s="599"/>
      <c r="AI602" s="600"/>
      <c r="AJ602" s="598"/>
      <c r="AK602" s="599"/>
      <c r="AL602" s="600"/>
      <c r="AM602" s="384"/>
      <c r="AN602" s="256"/>
      <c r="AO602" s="388"/>
    </row>
    <row r="603" spans="4:50" ht="15" customHeight="1" x14ac:dyDescent="0.3">
      <c r="D603" s="244"/>
      <c r="E603" s="341" t="str">
        <f>IF(OR(M603="",M603=0,J603="",G603=""),"",
(IF(AND(F596=$P$4,M603&lt;=$R$4),$V$4,0)+IF(AND(F596=$P$5,M603&lt;=$R$5),$V$5,0)+IF(AND(F596=$P$6,M603&lt;=$R$6),$V$6,0)+IF(AND(F596=$P$7,M603&lt;=$R$7),$V$7,0))
)</f>
        <v/>
      </c>
      <c r="F603" s="153" t="s">
        <v>307</v>
      </c>
      <c r="G603" s="616"/>
      <c r="H603" s="617"/>
      <c r="I603" s="618"/>
      <c r="J603" s="616"/>
      <c r="K603" s="617"/>
      <c r="L603" s="618"/>
      <c r="M603" s="255"/>
      <c r="N603" s="256"/>
      <c r="O603" s="388"/>
      <c r="AA603" s="50"/>
      <c r="AD603" s="244"/>
      <c r="AE603" s="341" t="str">
        <f>IF(OR(AM603="",AM603=0,AJ603="",AG603=""),"",
(IF(AND(AF596=$P$4,AM603&lt;=$R$4),$V$4,0)+IF(AND(AF596=$P$5,AM603&lt;=$R$5),$V$5,0)+IF(AND(AF596=$P$6,AM603&lt;=$R$6),$V$6,0)+IF(AND(AF596=$P$7,AM603&lt;=$R$7),$V$7,0))
)</f>
        <v/>
      </c>
      <c r="AF603" s="153" t="s">
        <v>307</v>
      </c>
      <c r="AG603" s="598"/>
      <c r="AH603" s="599"/>
      <c r="AI603" s="600"/>
      <c r="AJ603" s="598"/>
      <c r="AK603" s="599"/>
      <c r="AL603" s="600"/>
      <c r="AM603" s="384"/>
      <c r="AN603" s="256"/>
      <c r="AO603" s="388"/>
    </row>
    <row r="604" spans="4:50" ht="15" customHeight="1" x14ac:dyDescent="0.3">
      <c r="D604" s="244"/>
      <c r="E604" s="341" t="str">
        <f>IF(OR(M604="",M604=0,J604="",G604=""),"",
(IF(AND(F596=$P$4,M604&lt;=$R$4),$V$4,0)+IF(AND(F596=$P$5,M604&lt;=$R$5),$V$5,0)+IF(AND(F596=$P$6,M604&lt;=$R$6),$V$6,0)+IF(AND(F596=$P$7,M604&lt;=$R$7),$V$7,0))
)</f>
        <v/>
      </c>
      <c r="F604" s="153" t="s">
        <v>308</v>
      </c>
      <c r="G604" s="616"/>
      <c r="H604" s="617"/>
      <c r="I604" s="618"/>
      <c r="J604" s="616"/>
      <c r="K604" s="617"/>
      <c r="L604" s="618"/>
      <c r="M604" s="255"/>
      <c r="N604" s="256"/>
      <c r="O604" s="388"/>
      <c r="AA604" s="50"/>
      <c r="AD604" s="244"/>
      <c r="AE604" s="341" t="str">
        <f>IF(OR(AM604="",AM604=0,AJ604="",AG604=""),"",
(IF(AND(AF596=$P$4,AM604&lt;=$R$4),$V$4,0)+IF(AND(AF596=$P$5,AM604&lt;=$R$5),$V$5,0)+IF(AND(AF596=$P$6,AM604&lt;=$R$6),$V$6,0)+IF(AND(AF596=$P$7,AM604&lt;=$R$7),$V$7,0))
)</f>
        <v/>
      </c>
      <c r="AF604" s="153" t="s">
        <v>308</v>
      </c>
      <c r="AG604" s="598"/>
      <c r="AH604" s="599"/>
      <c r="AI604" s="600"/>
      <c r="AJ604" s="598"/>
      <c r="AK604" s="599"/>
      <c r="AL604" s="600"/>
      <c r="AM604" s="384"/>
      <c r="AN604" s="256"/>
      <c r="AO604" s="388"/>
    </row>
    <row r="605" spans="4:50" ht="15" customHeight="1" thickBot="1" x14ac:dyDescent="0.35">
      <c r="D605" s="203"/>
      <c r="E605" s="3"/>
      <c r="F605" s="3"/>
      <c r="G605" s="3"/>
      <c r="H605" s="3"/>
      <c r="I605" s="3"/>
      <c r="J605" s="3"/>
      <c r="K605" s="3"/>
      <c r="L605" s="3"/>
      <c r="M605" s="3"/>
      <c r="N605" s="204"/>
      <c r="P605" s="2"/>
      <c r="AA605" s="50"/>
      <c r="AD605" s="203"/>
      <c r="AE605" s="3"/>
      <c r="AF605" s="3"/>
      <c r="AG605" s="3"/>
      <c r="AH605" s="3"/>
      <c r="AI605" s="3"/>
      <c r="AJ605" s="3"/>
      <c r="AK605" s="3"/>
      <c r="AL605" s="3"/>
      <c r="AM605" s="3"/>
      <c r="AN605" s="204"/>
      <c r="AP605" s="2"/>
    </row>
    <row r="606" spans="4:50" ht="15" customHeight="1" x14ac:dyDescent="0.3">
      <c r="D606" s="601" t="str">
        <f>IF(
OR(
OR(F608=$P$4,F608=$P$5,F608=$P$6,F608=$P$7),AND(G610="",G611="",G612="",G613="",G614="",G615="",G616="",J610="",J611="",J612="",J613="",J614="",J615="",J616="",M610="",M611="",M612="",M613="",M614="",M615="",M616="",K607="",K608="")
),
"",
"A Set-Aside must be selected."
)</f>
        <v/>
      </c>
      <c r="E606" s="602"/>
      <c r="F606" s="602"/>
      <c r="G606" s="602"/>
      <c r="H606" s="602"/>
      <c r="I606" s="602"/>
      <c r="J606" s="602"/>
      <c r="K606" s="602"/>
      <c r="L606" s="602"/>
      <c r="M606" s="602"/>
      <c r="N606" s="603"/>
      <c r="O606" s="2"/>
      <c r="AA606" s="50"/>
      <c r="AD606" s="601" t="str">
        <f>IF(
OR(
OR(AF608=$P$4,AF608=$P$5,AF608=$P$6,AF608=$P$7),AND(AG610="",AG611="",AG612="",AG613="",AG614="",AG615="",AG616="",AJ610="",AJ611="",AJ612="",AJ613="",AJ614="",AJ615="",AJ616="",AM610="",AM611="",AM612="",AM613="",AM614="",AM615="",AM616="",AK607="",AK608="")
),
"",
"A Set-Aside must be selected."
)</f>
        <v/>
      </c>
      <c r="AE606" s="602"/>
      <c r="AF606" s="602"/>
      <c r="AG606" s="602"/>
      <c r="AH606" s="602"/>
      <c r="AI606" s="602"/>
      <c r="AJ606" s="602"/>
      <c r="AK606" s="602"/>
      <c r="AL606" s="602"/>
      <c r="AM606" s="602"/>
      <c r="AN606" s="603"/>
      <c r="AO606" s="2"/>
    </row>
    <row r="607" spans="4:50" ht="15" customHeight="1" x14ac:dyDescent="0.3">
      <c r="D607" s="199"/>
      <c r="E607" s="9" t="s">
        <v>30</v>
      </c>
      <c r="F607" s="86">
        <f>F595+1</f>
        <v>48</v>
      </c>
      <c r="G607" s="9" t="s">
        <v>175</v>
      </c>
      <c r="H607" s="9"/>
      <c r="I607" s="9"/>
      <c r="J607" s="168" t="s">
        <v>111</v>
      </c>
      <c r="K607" s="148"/>
      <c r="N607" s="200"/>
      <c r="R607" s="596" t="s">
        <v>302</v>
      </c>
      <c r="S607" s="596" t="s">
        <v>303</v>
      </c>
      <c r="T607" s="596" t="s">
        <v>304</v>
      </c>
      <c r="U607" s="596" t="s">
        <v>305</v>
      </c>
      <c r="V607" s="596" t="s">
        <v>306</v>
      </c>
      <c r="W607" s="596" t="s">
        <v>307</v>
      </c>
      <c r="X607" s="596" t="s">
        <v>308</v>
      </c>
      <c r="AA607" s="50"/>
      <c r="AD607" s="199"/>
      <c r="AE607" s="9" t="s">
        <v>30</v>
      </c>
      <c r="AF607" s="86">
        <f>AF595+1</f>
        <v>48</v>
      </c>
      <c r="AG607" s="9" t="s">
        <v>175</v>
      </c>
      <c r="AH607" s="9"/>
      <c r="AI607" s="9"/>
      <c r="AJ607" s="168" t="s">
        <v>111</v>
      </c>
      <c r="AK607" s="382"/>
      <c r="AN607" s="200"/>
      <c r="AR607" s="596" t="s">
        <v>302</v>
      </c>
      <c r="AS607" s="596" t="s">
        <v>303</v>
      </c>
      <c r="AT607" s="596" t="s">
        <v>304</v>
      </c>
      <c r="AU607" s="596" t="s">
        <v>305</v>
      </c>
      <c r="AV607" s="596" t="s">
        <v>306</v>
      </c>
      <c r="AW607" s="596" t="s">
        <v>307</v>
      </c>
      <c r="AX607" s="596" t="s">
        <v>308</v>
      </c>
    </row>
    <row r="608" spans="4:50" x14ac:dyDescent="0.3">
      <c r="D608" s="604" t="s">
        <v>31</v>
      </c>
      <c r="E608" s="594"/>
      <c r="F608" s="151"/>
      <c r="G608" s="86" t="str">
        <f>IF(F608=$P$4,$Q$4,IF(F608=$P$5,$Q$5,IF(F608=$P$6,$Q$6,IF(F608=$P$7,Q$7,IF(F608=$P$8,"","")))))</f>
        <v/>
      </c>
      <c r="H608" s="201"/>
      <c r="I608" s="201"/>
      <c r="J608" s="168" t="s">
        <v>112</v>
      </c>
      <c r="K608" s="148"/>
      <c r="N608" s="200"/>
      <c r="R608" s="596"/>
      <c r="S608" s="596"/>
      <c r="T608" s="596"/>
      <c r="U608" s="596"/>
      <c r="V608" s="596"/>
      <c r="W608" s="596"/>
      <c r="X608" s="596"/>
      <c r="AA608" s="50"/>
      <c r="AD608" s="604" t="s">
        <v>31</v>
      </c>
      <c r="AE608" s="594"/>
      <c r="AF608" s="383"/>
      <c r="AG608" s="86" t="str">
        <f>IF(AF608=$P$4,$Q$4,IF(AF608=$P$5,$Q$5,IF(AF608=$P$6,$Q$6,IF(AF608=$P$7,AQ$7,IF(AF608=$P$8,"","")))))</f>
        <v/>
      </c>
      <c r="AH608" s="201"/>
      <c r="AI608" s="201"/>
      <c r="AJ608" s="168" t="s">
        <v>112</v>
      </c>
      <c r="AK608" s="382"/>
      <c r="AN608" s="200"/>
      <c r="AR608" s="596"/>
      <c r="AS608" s="596"/>
      <c r="AT608" s="596"/>
      <c r="AU608" s="596"/>
      <c r="AV608" s="596"/>
      <c r="AW608" s="596"/>
      <c r="AX608" s="596"/>
    </row>
    <row r="609" spans="4:50" x14ac:dyDescent="0.3">
      <c r="D609" s="244"/>
      <c r="E609" s="230" t="s">
        <v>52</v>
      </c>
      <c r="F609" s="9" t="s">
        <v>32</v>
      </c>
      <c r="G609" s="9" t="s">
        <v>33</v>
      </c>
      <c r="H609" s="9"/>
      <c r="I609" s="9"/>
      <c r="J609" s="9" t="s">
        <v>34</v>
      </c>
      <c r="K609" s="9"/>
      <c r="L609" s="9"/>
      <c r="M609" s="257" t="s">
        <v>35</v>
      </c>
      <c r="N609" s="202"/>
      <c r="O609" s="9"/>
      <c r="P609" s="198" t="s">
        <v>22</v>
      </c>
      <c r="Q609" s="198"/>
      <c r="R609" s="596"/>
      <c r="S609" s="596"/>
      <c r="T609" s="596"/>
      <c r="U609" s="596"/>
      <c r="V609" s="596"/>
      <c r="W609" s="596"/>
      <c r="X609" s="596"/>
      <c r="AA609" s="50"/>
      <c r="AD609" s="244"/>
      <c r="AE609" s="230" t="s">
        <v>52</v>
      </c>
      <c r="AF609" s="9" t="s">
        <v>32</v>
      </c>
      <c r="AG609" s="9" t="s">
        <v>33</v>
      </c>
      <c r="AH609" s="9"/>
      <c r="AI609" s="9"/>
      <c r="AJ609" s="9" t="s">
        <v>34</v>
      </c>
      <c r="AK609" s="9"/>
      <c r="AL609" s="9"/>
      <c r="AM609" s="257" t="s">
        <v>35</v>
      </c>
      <c r="AN609" s="202"/>
      <c r="AO609" s="9"/>
      <c r="AP609" s="198" t="s">
        <v>22</v>
      </c>
      <c r="AQ609" s="198"/>
      <c r="AR609" s="596"/>
      <c r="AS609" s="596"/>
      <c r="AT609" s="596"/>
      <c r="AU609" s="596"/>
      <c r="AV609" s="596"/>
      <c r="AW609" s="596"/>
      <c r="AX609" s="596"/>
    </row>
    <row r="610" spans="4:50" x14ac:dyDescent="0.3">
      <c r="D610" s="244"/>
      <c r="E610" s="355" t="str">
        <f>IF(OR(M610="",M610=0,J610="",G610=""),"",
(IF(AND(F608=$P$4,M610&lt;=$R$4),$V$4,0)+IF(AND(F608=$P$5,M610&lt;=$R$5),$V$5,0)+IF(AND(F608=$P$6,M610&lt;=$R$6),$V$6,0)+IF(AND(F608=$P$7,M610&lt;=$R$7),$V$7,0))
)</f>
        <v/>
      </c>
      <c r="F610" s="153" t="s">
        <v>302</v>
      </c>
      <c r="G610" s="616"/>
      <c r="H610" s="617"/>
      <c r="I610" s="618"/>
      <c r="J610" s="616"/>
      <c r="K610" s="617"/>
      <c r="L610" s="618"/>
      <c r="M610" s="255"/>
      <c r="N610" s="256"/>
      <c r="O610" s="388"/>
      <c r="P610" s="185">
        <f t="shared" ref="P610" si="751">IF(F608="",0,1)</f>
        <v>0</v>
      </c>
      <c r="R610" s="185" t="str">
        <f t="shared" ref="R610" si="752">E610</f>
        <v/>
      </c>
      <c r="S610" s="185" t="str">
        <f t="shared" ref="S610" si="753">E611</f>
        <v/>
      </c>
      <c r="T610" s="185" t="str">
        <f t="shared" ref="T610" si="754">E612</f>
        <v/>
      </c>
      <c r="U610" s="185" t="str">
        <f t="shared" ref="U610" si="755">E613</f>
        <v/>
      </c>
      <c r="V610" s="185" t="str">
        <f t="shared" ref="V610" si="756">E614</f>
        <v/>
      </c>
      <c r="W610" s="185" t="str">
        <f t="shared" ref="W610" si="757">E615</f>
        <v/>
      </c>
      <c r="X610" s="185" t="str">
        <f t="shared" ref="X610" si="758">E616</f>
        <v/>
      </c>
      <c r="AA610" s="50"/>
      <c r="AD610" s="244"/>
      <c r="AE610" s="355" t="str">
        <f>IF(OR(AM610="",AM610=0,AJ610="",AG610=""),"",
(IF(AND(AF608=$P$4,AM610&lt;=$R$4),$V$4,0)+IF(AND(AF608=$P$5,AM610&lt;=$R$5),$V$5,0)+IF(AND(AF608=$P$6,AM610&lt;=$R$6),$V$6,0)+IF(AND(AF608=$P$7,AM610&lt;=$R$7),$V$7,0))
)</f>
        <v/>
      </c>
      <c r="AF610" s="153" t="s">
        <v>302</v>
      </c>
      <c r="AG610" s="598"/>
      <c r="AH610" s="599"/>
      <c r="AI610" s="600"/>
      <c r="AJ610" s="598"/>
      <c r="AK610" s="599"/>
      <c r="AL610" s="600"/>
      <c r="AM610" s="384"/>
      <c r="AN610" s="256"/>
      <c r="AO610" s="388"/>
      <c r="AP610" s="185">
        <f t="shared" ref="AP610" si="759">IF(AF608="",0,1)</f>
        <v>0</v>
      </c>
      <c r="AR610" s="185" t="str">
        <f t="shared" ref="AR610" si="760">AE610</f>
        <v/>
      </c>
      <c r="AS610" s="185" t="str">
        <f t="shared" ref="AS610" si="761">AE611</f>
        <v/>
      </c>
      <c r="AT610" s="185" t="str">
        <f t="shared" ref="AT610" si="762">AE612</f>
        <v/>
      </c>
      <c r="AU610" s="185" t="str">
        <f t="shared" ref="AU610" si="763">AE613</f>
        <v/>
      </c>
      <c r="AV610" s="185" t="str">
        <f t="shared" ref="AV610" si="764">AE614</f>
        <v/>
      </c>
      <c r="AW610" s="185" t="str">
        <f t="shared" ref="AW610" si="765">AE615</f>
        <v/>
      </c>
      <c r="AX610" s="185" t="str">
        <f t="shared" ref="AX610" si="766">AE616</f>
        <v/>
      </c>
    </row>
    <row r="611" spans="4:50" x14ac:dyDescent="0.3">
      <c r="D611" s="244"/>
      <c r="E611" s="341" t="str">
        <f>IF(OR(M611="",M611=0,J611="",G611=""),"",
(IF(AND(F608=$P$4,M611&lt;=$R$4),$V$4,0)+IF(AND(F608=$P$5,M611&lt;=$R$5),$V$5,0)+IF(AND(F608=$P$6,M611&lt;=$R$6),$V$6,0)+IF(AND(F608=$P$7,M611&lt;=$R$7),$V$7,0))
)</f>
        <v/>
      </c>
      <c r="F611" s="153" t="s">
        <v>303</v>
      </c>
      <c r="G611" s="616"/>
      <c r="H611" s="617"/>
      <c r="I611" s="618"/>
      <c r="J611" s="616"/>
      <c r="K611" s="617"/>
      <c r="L611" s="618"/>
      <c r="M611" s="255"/>
      <c r="N611" s="256"/>
      <c r="O611" s="388"/>
      <c r="AA611" s="50"/>
      <c r="AD611" s="244"/>
      <c r="AE611" s="341" t="str">
        <f>IF(OR(AM611="",AM611=0,AJ611="",AG611=""),"",
(IF(AND(AF608=$P$4,AM611&lt;=$R$4),$V$4,0)+IF(AND(AF608=$P$5,AM611&lt;=$R$5),$V$5,0)+IF(AND(AF608=$P$6,AM611&lt;=$R$6),$V$6,0)+IF(AND(AF608=$P$7,AM611&lt;=$R$7),$V$7,0))
)</f>
        <v/>
      </c>
      <c r="AF611" s="153" t="s">
        <v>303</v>
      </c>
      <c r="AG611" s="598"/>
      <c r="AH611" s="599"/>
      <c r="AI611" s="600"/>
      <c r="AJ611" s="598"/>
      <c r="AK611" s="599"/>
      <c r="AL611" s="600"/>
      <c r="AM611" s="384"/>
      <c r="AN611" s="256"/>
      <c r="AO611" s="388"/>
    </row>
    <row r="612" spans="4:50" x14ac:dyDescent="0.3">
      <c r="D612" s="244"/>
      <c r="E612" s="341" t="str">
        <f>IF(OR(M612="",M612=0,J612="",G612=""),"",
(IF(AND(F608=$P$4,M612&lt;=$R$4),$V$4,0)+IF(AND(F608=$P$5,M612&lt;=$R$5),$V$5,0)+IF(AND(F608=$P$6,M612&lt;=$R$6),$V$6,0)+IF(AND(F608=$P$7,M612&lt;=$R$7),$V$7,0))
)</f>
        <v/>
      </c>
      <c r="F612" s="153" t="s">
        <v>304</v>
      </c>
      <c r="G612" s="616"/>
      <c r="H612" s="617"/>
      <c r="I612" s="618"/>
      <c r="J612" s="616"/>
      <c r="K612" s="617"/>
      <c r="L612" s="618"/>
      <c r="M612" s="255"/>
      <c r="N612" s="256"/>
      <c r="O612" s="388"/>
      <c r="AA612" s="50"/>
      <c r="AD612" s="244"/>
      <c r="AE612" s="341" t="str">
        <f>IF(OR(AM612="",AM612=0,AJ612="",AG612=""),"",
(IF(AND(AF608=$P$4,AM612&lt;=$R$4),$V$4,0)+IF(AND(AF608=$P$5,AM612&lt;=$R$5),$V$5,0)+IF(AND(AF608=$P$6,AM612&lt;=$R$6),$V$6,0)+IF(AND(AF608=$P$7,AM612&lt;=$R$7),$V$7,0))
)</f>
        <v/>
      </c>
      <c r="AF612" s="153" t="s">
        <v>304</v>
      </c>
      <c r="AG612" s="598"/>
      <c r="AH612" s="599"/>
      <c r="AI612" s="600"/>
      <c r="AJ612" s="598"/>
      <c r="AK612" s="599"/>
      <c r="AL612" s="600"/>
      <c r="AM612" s="384"/>
      <c r="AN612" s="256"/>
      <c r="AO612" s="388"/>
    </row>
    <row r="613" spans="4:50" ht="15" customHeight="1" x14ac:dyDescent="0.3">
      <c r="D613" s="244"/>
      <c r="E613" s="341" t="str">
        <f>IF(OR(M613="",M613=0,J613="",G613=""),"",
(IF(AND(F608=$P$4,M613&lt;=$R$4),$V$4,0)+IF(AND(F608=$P$5,M613&lt;=$R$5),$V$5,0)+IF(AND(F608=$P$6,M613&lt;=$R$6),$V$6,0)+IF(AND(F608=$P$7,M613&lt;=$R$7),$V$7,0))
)</f>
        <v/>
      </c>
      <c r="F613" s="153" t="s">
        <v>305</v>
      </c>
      <c r="G613" s="616"/>
      <c r="H613" s="617"/>
      <c r="I613" s="618"/>
      <c r="J613" s="616"/>
      <c r="K613" s="617"/>
      <c r="L613" s="618"/>
      <c r="M613" s="255"/>
      <c r="N613" s="256"/>
      <c r="O613" s="388"/>
      <c r="AA613" s="50"/>
      <c r="AD613" s="244"/>
      <c r="AE613" s="341" t="str">
        <f>IF(OR(AM613="",AM613=0,AJ613="",AG613=""),"",
(IF(AND(AF608=$P$4,AM613&lt;=$R$4),$V$4,0)+IF(AND(AF608=$P$5,AM613&lt;=$R$5),$V$5,0)+IF(AND(AF608=$P$6,AM613&lt;=$R$6),$V$6,0)+IF(AND(AF608=$P$7,AM613&lt;=$R$7),$V$7,0))
)</f>
        <v/>
      </c>
      <c r="AF613" s="153" t="s">
        <v>305</v>
      </c>
      <c r="AG613" s="598"/>
      <c r="AH613" s="599"/>
      <c r="AI613" s="600"/>
      <c r="AJ613" s="598"/>
      <c r="AK613" s="599"/>
      <c r="AL613" s="600"/>
      <c r="AM613" s="384"/>
      <c r="AN613" s="256"/>
      <c r="AO613" s="388"/>
    </row>
    <row r="614" spans="4:50" ht="15" customHeight="1" x14ac:dyDescent="0.3">
      <c r="D614" s="244"/>
      <c r="E614" s="341" t="str">
        <f>IF(OR(M614="",M614=0,J614="",G614=""),"",
(IF(AND(F608=$P$4,M614&lt;=$R$4),$V$4,0)+IF(AND(F608=$P$5,M614&lt;=$R$5),$V$5,0)+IF(AND(F608=$P$6,M614&lt;=$R$6),$V$6,0)+IF(AND(F608=$P$7,M614&lt;=$R$7),$V$7,0))
)</f>
        <v/>
      </c>
      <c r="F614" s="153" t="s">
        <v>306</v>
      </c>
      <c r="G614" s="616"/>
      <c r="H614" s="617"/>
      <c r="I614" s="618"/>
      <c r="J614" s="616"/>
      <c r="K614" s="617"/>
      <c r="L614" s="618"/>
      <c r="M614" s="255"/>
      <c r="N614" s="256"/>
      <c r="O614" s="388"/>
      <c r="AA614" s="50"/>
      <c r="AD614" s="244"/>
      <c r="AE614" s="341" t="str">
        <f>IF(OR(AM614="",AM614=0,AJ614="",AG614=""),"",
(IF(AND(AF608=$P$4,AM614&lt;=$R$4),$V$4,0)+IF(AND(AF608=$P$5,AM614&lt;=$R$5),$V$5,0)+IF(AND(AF608=$P$6,AM614&lt;=$R$6),$V$6,0)+IF(AND(AF608=$P$7,AM614&lt;=$R$7),$V$7,0))
)</f>
        <v/>
      </c>
      <c r="AF614" s="153" t="s">
        <v>306</v>
      </c>
      <c r="AG614" s="598"/>
      <c r="AH614" s="599"/>
      <c r="AI614" s="600"/>
      <c r="AJ614" s="598"/>
      <c r="AK614" s="599"/>
      <c r="AL614" s="600"/>
      <c r="AM614" s="384"/>
      <c r="AN614" s="256"/>
      <c r="AO614" s="388"/>
    </row>
    <row r="615" spans="4:50" ht="15" customHeight="1" x14ac:dyDescent="0.3">
      <c r="D615" s="244"/>
      <c r="E615" s="341" t="str">
        <f>IF(OR(M615="",M615=0,J615="",G615=""),"",
(IF(AND(F608=$P$4,M615&lt;=$R$4),$V$4,0)+IF(AND(F608=$P$5,M615&lt;=$R$5),$V$5,0)+IF(AND(F608=$P$6,M615&lt;=$R$6),$V$6,0)+IF(AND(F608=$P$7,M615&lt;=$R$7),$V$7,0))
)</f>
        <v/>
      </c>
      <c r="F615" s="153" t="s">
        <v>307</v>
      </c>
      <c r="G615" s="616"/>
      <c r="H615" s="617"/>
      <c r="I615" s="618"/>
      <c r="J615" s="616"/>
      <c r="K615" s="617"/>
      <c r="L615" s="618"/>
      <c r="M615" s="255"/>
      <c r="N615" s="256"/>
      <c r="O615" s="388"/>
      <c r="AA615" s="50"/>
      <c r="AD615" s="244"/>
      <c r="AE615" s="341" t="str">
        <f>IF(OR(AM615="",AM615=0,AJ615="",AG615=""),"",
(IF(AND(AF608=$P$4,AM615&lt;=$R$4),$V$4,0)+IF(AND(AF608=$P$5,AM615&lt;=$R$5),$V$5,0)+IF(AND(AF608=$P$6,AM615&lt;=$R$6),$V$6,0)+IF(AND(AF608=$P$7,AM615&lt;=$R$7),$V$7,0))
)</f>
        <v/>
      </c>
      <c r="AF615" s="153" t="s">
        <v>307</v>
      </c>
      <c r="AG615" s="598"/>
      <c r="AH615" s="599"/>
      <c r="AI615" s="600"/>
      <c r="AJ615" s="598"/>
      <c r="AK615" s="599"/>
      <c r="AL615" s="600"/>
      <c r="AM615" s="384"/>
      <c r="AN615" s="256"/>
      <c r="AO615" s="388"/>
    </row>
    <row r="616" spans="4:50" ht="15" customHeight="1" x14ac:dyDescent="0.3">
      <c r="D616" s="244"/>
      <c r="E616" s="341" t="str">
        <f>IF(OR(M616="",M616=0,J616="",G616=""),"",
(IF(AND(F608=$P$4,M616&lt;=$R$4),$V$4,0)+IF(AND(F608=$P$5,M616&lt;=$R$5),$V$5,0)+IF(AND(F608=$P$6,M616&lt;=$R$6),$V$6,0)+IF(AND(F608=$P$7,M616&lt;=$R$7),$V$7,0))
)</f>
        <v/>
      </c>
      <c r="F616" s="153" t="s">
        <v>308</v>
      </c>
      <c r="G616" s="616"/>
      <c r="H616" s="617"/>
      <c r="I616" s="618"/>
      <c r="J616" s="616"/>
      <c r="K616" s="617"/>
      <c r="L616" s="618"/>
      <c r="M616" s="255"/>
      <c r="N616" s="256"/>
      <c r="O616" s="388"/>
      <c r="AA616" s="50"/>
      <c r="AD616" s="244"/>
      <c r="AE616" s="341" t="str">
        <f>IF(OR(AM616="",AM616=0,AJ616="",AG616=""),"",
(IF(AND(AF608=$P$4,AM616&lt;=$R$4),$V$4,0)+IF(AND(AF608=$P$5,AM616&lt;=$R$5),$V$5,0)+IF(AND(AF608=$P$6,AM616&lt;=$R$6),$V$6,0)+IF(AND(AF608=$P$7,AM616&lt;=$R$7),$V$7,0))
)</f>
        <v/>
      </c>
      <c r="AF616" s="153" t="s">
        <v>308</v>
      </c>
      <c r="AG616" s="598"/>
      <c r="AH616" s="599"/>
      <c r="AI616" s="600"/>
      <c r="AJ616" s="598"/>
      <c r="AK616" s="599"/>
      <c r="AL616" s="600"/>
      <c r="AM616" s="384"/>
      <c r="AN616" s="256"/>
      <c r="AO616" s="388"/>
    </row>
    <row r="617" spans="4:50" ht="15" customHeight="1" thickBot="1" x14ac:dyDescent="0.35">
      <c r="D617" s="203"/>
      <c r="E617" s="3"/>
      <c r="F617" s="3"/>
      <c r="G617" s="3"/>
      <c r="H617" s="3"/>
      <c r="I617" s="3"/>
      <c r="J617" s="3"/>
      <c r="K617" s="3"/>
      <c r="L617" s="3"/>
      <c r="M617" s="3"/>
      <c r="N617" s="204"/>
      <c r="P617" s="2"/>
      <c r="AA617" s="50"/>
      <c r="AD617" s="203"/>
      <c r="AE617" s="3"/>
      <c r="AF617" s="3"/>
      <c r="AG617" s="3"/>
      <c r="AH617" s="3"/>
      <c r="AI617" s="3"/>
      <c r="AJ617" s="3"/>
      <c r="AK617" s="3"/>
      <c r="AL617" s="3"/>
      <c r="AM617" s="3"/>
      <c r="AN617" s="204"/>
      <c r="AP617" s="2"/>
    </row>
    <row r="618" spans="4:50" x14ac:dyDescent="0.3">
      <c r="D618" s="601" t="str">
        <f>IF(
OR(
OR(F620=$P$4,F620=$P$5,F620=$P$6,F620=$P$7),AND(G622="",G623="",G624="",G625="",G626="",G627="",G628="",J622="",J623="",J624="",J625="",J626="",J627="",J628="",M622="",M623="",M624="",M625="",M626="",M627="",M628="",K619="",K620="")
),
"",
"A Set-Aside must be selected."
)</f>
        <v/>
      </c>
      <c r="E618" s="602"/>
      <c r="F618" s="602"/>
      <c r="G618" s="602"/>
      <c r="H618" s="602"/>
      <c r="I618" s="602"/>
      <c r="J618" s="602"/>
      <c r="K618" s="602"/>
      <c r="L618" s="602"/>
      <c r="M618" s="602"/>
      <c r="N618" s="603"/>
      <c r="O618" s="2"/>
      <c r="AA618" s="50"/>
      <c r="AD618" s="601" t="str">
        <f>IF(
OR(
OR(AF620=$P$4,AF620=$P$5,AF620=$P$6,AF620=$P$7),AND(AG622="",AG623="",AG624="",AG625="",AG626="",AG627="",AG628="",AJ622="",AJ623="",AJ624="",AJ625="",AJ626="",AJ627="",AJ628="",AM622="",AM623="",AM624="",AM625="",AM626="",AM627="",AM628="",AK619="",AK620="")
),
"",
"A Set-Aside must be selected."
)</f>
        <v/>
      </c>
      <c r="AE618" s="602"/>
      <c r="AF618" s="602"/>
      <c r="AG618" s="602"/>
      <c r="AH618" s="602"/>
      <c r="AI618" s="602"/>
      <c r="AJ618" s="602"/>
      <c r="AK618" s="602"/>
      <c r="AL618" s="602"/>
      <c r="AM618" s="602"/>
      <c r="AN618" s="603"/>
      <c r="AO618" s="2"/>
    </row>
    <row r="619" spans="4:50" ht="15.75" customHeight="1" x14ac:dyDescent="0.3">
      <c r="D619" s="199"/>
      <c r="E619" s="9" t="s">
        <v>30</v>
      </c>
      <c r="F619" s="86">
        <f>F607+1</f>
        <v>49</v>
      </c>
      <c r="G619" s="9" t="s">
        <v>175</v>
      </c>
      <c r="H619" s="9"/>
      <c r="I619" s="9"/>
      <c r="J619" s="168" t="s">
        <v>111</v>
      </c>
      <c r="K619" s="148"/>
      <c r="N619" s="200"/>
      <c r="R619" s="596" t="s">
        <v>302</v>
      </c>
      <c r="S619" s="596" t="s">
        <v>303</v>
      </c>
      <c r="T619" s="596" t="s">
        <v>304</v>
      </c>
      <c r="U619" s="596" t="s">
        <v>305</v>
      </c>
      <c r="V619" s="596" t="s">
        <v>306</v>
      </c>
      <c r="W619" s="596" t="s">
        <v>307</v>
      </c>
      <c r="X619" s="596" t="s">
        <v>308</v>
      </c>
      <c r="AA619" s="50"/>
      <c r="AD619" s="199"/>
      <c r="AE619" s="9" t="s">
        <v>30</v>
      </c>
      <c r="AF619" s="86">
        <f>AF607+1</f>
        <v>49</v>
      </c>
      <c r="AG619" s="9" t="s">
        <v>175</v>
      </c>
      <c r="AH619" s="9"/>
      <c r="AI619" s="9"/>
      <c r="AJ619" s="168" t="s">
        <v>111</v>
      </c>
      <c r="AK619" s="382"/>
      <c r="AN619" s="200"/>
      <c r="AR619" s="596" t="s">
        <v>302</v>
      </c>
      <c r="AS619" s="596" t="s">
        <v>303</v>
      </c>
      <c r="AT619" s="596" t="s">
        <v>304</v>
      </c>
      <c r="AU619" s="596" t="s">
        <v>305</v>
      </c>
      <c r="AV619" s="596" t="s">
        <v>306</v>
      </c>
      <c r="AW619" s="596" t="s">
        <v>307</v>
      </c>
      <c r="AX619" s="596" t="s">
        <v>308</v>
      </c>
    </row>
    <row r="620" spans="4:50" x14ac:dyDescent="0.3">
      <c r="D620" s="604" t="s">
        <v>31</v>
      </c>
      <c r="E620" s="594"/>
      <c r="F620" s="151"/>
      <c r="G620" s="86" t="str">
        <f>IF(F620=$P$4,$Q$4,IF(F620=$P$5,$Q$5,IF(F620=$P$6,$Q$6,IF(F620=$P$7,Q$7,IF(F620=$P$8,"","")))))</f>
        <v/>
      </c>
      <c r="H620" s="201"/>
      <c r="I620" s="201"/>
      <c r="J620" s="168" t="s">
        <v>112</v>
      </c>
      <c r="K620" s="148"/>
      <c r="N620" s="200"/>
      <c r="R620" s="596"/>
      <c r="S620" s="596"/>
      <c r="T620" s="596"/>
      <c r="U620" s="596"/>
      <c r="V620" s="596"/>
      <c r="W620" s="596"/>
      <c r="X620" s="596"/>
      <c r="AA620" s="50"/>
      <c r="AD620" s="604" t="s">
        <v>31</v>
      </c>
      <c r="AE620" s="594"/>
      <c r="AF620" s="383"/>
      <c r="AG620" s="86" t="str">
        <f>IF(AF620=$P$4,$Q$4,IF(AF620=$P$5,$Q$5,IF(AF620=$P$6,$Q$6,IF(AF620=$P$7,AQ$7,IF(AF620=$P$8,"","")))))</f>
        <v/>
      </c>
      <c r="AH620" s="201"/>
      <c r="AI620" s="201"/>
      <c r="AJ620" s="168" t="s">
        <v>112</v>
      </c>
      <c r="AK620" s="382"/>
      <c r="AN620" s="200"/>
      <c r="AR620" s="596"/>
      <c r="AS620" s="596"/>
      <c r="AT620" s="596"/>
      <c r="AU620" s="596"/>
      <c r="AV620" s="596"/>
      <c r="AW620" s="596"/>
      <c r="AX620" s="596"/>
    </row>
    <row r="621" spans="4:50" x14ac:dyDescent="0.3">
      <c r="D621" s="244"/>
      <c r="E621" s="230" t="s">
        <v>52</v>
      </c>
      <c r="F621" s="9" t="s">
        <v>32</v>
      </c>
      <c r="G621" s="9" t="s">
        <v>33</v>
      </c>
      <c r="H621" s="9"/>
      <c r="I621" s="9"/>
      <c r="J621" s="9" t="s">
        <v>34</v>
      </c>
      <c r="K621" s="9"/>
      <c r="L621" s="9"/>
      <c r="M621" s="257" t="s">
        <v>35</v>
      </c>
      <c r="N621" s="202"/>
      <c r="O621" s="9"/>
      <c r="P621" s="198" t="s">
        <v>22</v>
      </c>
      <c r="Q621" s="198"/>
      <c r="R621" s="596"/>
      <c r="S621" s="596"/>
      <c r="T621" s="596"/>
      <c r="U621" s="596"/>
      <c r="V621" s="596"/>
      <c r="W621" s="596"/>
      <c r="X621" s="596"/>
      <c r="AA621" s="50"/>
      <c r="AD621" s="244"/>
      <c r="AE621" s="230" t="s">
        <v>52</v>
      </c>
      <c r="AF621" s="9" t="s">
        <v>32</v>
      </c>
      <c r="AG621" s="9" t="s">
        <v>33</v>
      </c>
      <c r="AH621" s="9"/>
      <c r="AI621" s="9"/>
      <c r="AJ621" s="9" t="s">
        <v>34</v>
      </c>
      <c r="AK621" s="9"/>
      <c r="AL621" s="9"/>
      <c r="AM621" s="257" t="s">
        <v>35</v>
      </c>
      <c r="AN621" s="202"/>
      <c r="AO621" s="9"/>
      <c r="AP621" s="198" t="s">
        <v>22</v>
      </c>
      <c r="AQ621" s="198"/>
      <c r="AR621" s="596"/>
      <c r="AS621" s="596"/>
      <c r="AT621" s="596"/>
      <c r="AU621" s="596"/>
      <c r="AV621" s="596"/>
      <c r="AW621" s="596"/>
      <c r="AX621" s="596"/>
    </row>
    <row r="622" spans="4:50" x14ac:dyDescent="0.3">
      <c r="D622" s="244"/>
      <c r="E622" s="355" t="str">
        <f>IF(OR(M622="",M622=0,J622="",G622=""),"",
(IF(AND(F620=$P$4,M622&lt;=$R$4),$V$4,0)+IF(AND(F620=$P$5,M622&lt;=$R$5),$V$5,0)+IF(AND(F620=$P$6,M622&lt;=$R$6),$V$6,0)+IF(AND(F620=$P$7,M622&lt;=$R$7),$V$7,0))
)</f>
        <v/>
      </c>
      <c r="F622" s="153" t="s">
        <v>302</v>
      </c>
      <c r="G622" s="616"/>
      <c r="H622" s="617"/>
      <c r="I622" s="618"/>
      <c r="J622" s="616"/>
      <c r="K622" s="617"/>
      <c r="L622" s="618"/>
      <c r="M622" s="255"/>
      <c r="N622" s="256"/>
      <c r="O622" s="388"/>
      <c r="P622" s="185">
        <f t="shared" ref="P622" si="767">IF(F620="",0,1)</f>
        <v>0</v>
      </c>
      <c r="R622" s="185" t="str">
        <f t="shared" ref="R622" si="768">E622</f>
        <v/>
      </c>
      <c r="S622" s="185" t="str">
        <f t="shared" ref="S622" si="769">E623</f>
        <v/>
      </c>
      <c r="T622" s="185" t="str">
        <f t="shared" ref="T622" si="770">E624</f>
        <v/>
      </c>
      <c r="U622" s="185" t="str">
        <f t="shared" ref="U622" si="771">E625</f>
        <v/>
      </c>
      <c r="V622" s="185" t="str">
        <f t="shared" ref="V622" si="772">E626</f>
        <v/>
      </c>
      <c r="W622" s="185" t="str">
        <f t="shared" ref="W622" si="773">E627</f>
        <v/>
      </c>
      <c r="X622" s="185" t="str">
        <f t="shared" ref="X622" si="774">E628</f>
        <v/>
      </c>
      <c r="AA622" s="50"/>
      <c r="AD622" s="244"/>
      <c r="AE622" s="355" t="str">
        <f>IF(OR(AM622="",AM622=0,AJ622="",AG622=""),"",
(IF(AND(AF620=$P$4,AM622&lt;=$R$4),$V$4,0)+IF(AND(AF620=$P$5,AM622&lt;=$R$5),$V$5,0)+IF(AND(AF620=$P$6,AM622&lt;=$R$6),$V$6,0)+IF(AND(AF620=$P$7,AM622&lt;=$R$7),$V$7,0))
)</f>
        <v/>
      </c>
      <c r="AF622" s="153" t="s">
        <v>302</v>
      </c>
      <c r="AG622" s="598"/>
      <c r="AH622" s="599"/>
      <c r="AI622" s="600"/>
      <c r="AJ622" s="598"/>
      <c r="AK622" s="599"/>
      <c r="AL622" s="600"/>
      <c r="AM622" s="384"/>
      <c r="AN622" s="256"/>
      <c r="AO622" s="388"/>
      <c r="AP622" s="185">
        <f t="shared" ref="AP622" si="775">IF(AF620="",0,1)</f>
        <v>0</v>
      </c>
      <c r="AR622" s="185" t="str">
        <f t="shared" ref="AR622" si="776">AE622</f>
        <v/>
      </c>
      <c r="AS622" s="185" t="str">
        <f t="shared" ref="AS622" si="777">AE623</f>
        <v/>
      </c>
      <c r="AT622" s="185" t="str">
        <f t="shared" ref="AT622" si="778">AE624</f>
        <v/>
      </c>
      <c r="AU622" s="185" t="str">
        <f t="shared" ref="AU622" si="779">AE625</f>
        <v/>
      </c>
      <c r="AV622" s="185" t="str">
        <f t="shared" ref="AV622" si="780">AE626</f>
        <v/>
      </c>
      <c r="AW622" s="185" t="str">
        <f t="shared" ref="AW622" si="781">AE627</f>
        <v/>
      </c>
      <c r="AX622" s="185" t="str">
        <f t="shared" ref="AX622" si="782">AE628</f>
        <v/>
      </c>
    </row>
    <row r="623" spans="4:50" ht="15" customHeight="1" x14ac:dyDescent="0.3">
      <c r="D623" s="244"/>
      <c r="E623" s="341" t="str">
        <f>IF(OR(M623="",M623=0,J623="",G623=""),"",
(IF(AND(F620=$P$4,M623&lt;=$R$4),$V$4,0)+IF(AND(F620=$P$5,M623&lt;=$R$5),$V$5,0)+IF(AND(F620=$P$6,M623&lt;=$R$6),$V$6,0)+IF(AND(F620=$P$7,M623&lt;=$R$7),$V$7,0))
)</f>
        <v/>
      </c>
      <c r="F623" s="153" t="s">
        <v>303</v>
      </c>
      <c r="G623" s="616"/>
      <c r="H623" s="617"/>
      <c r="I623" s="618"/>
      <c r="J623" s="616"/>
      <c r="K623" s="617"/>
      <c r="L623" s="618"/>
      <c r="M623" s="255"/>
      <c r="N623" s="256"/>
      <c r="O623" s="388"/>
      <c r="AA623" s="50"/>
      <c r="AD623" s="244"/>
      <c r="AE623" s="341" t="str">
        <f>IF(OR(AM623="",AM623=0,AJ623="",AG623=""),"",
(IF(AND(AF620=$P$4,AM623&lt;=$R$4),$V$4,0)+IF(AND(AF620=$P$5,AM623&lt;=$R$5),$V$5,0)+IF(AND(AF620=$P$6,AM623&lt;=$R$6),$V$6,0)+IF(AND(AF620=$P$7,AM623&lt;=$R$7),$V$7,0))
)</f>
        <v/>
      </c>
      <c r="AF623" s="153" t="s">
        <v>303</v>
      </c>
      <c r="AG623" s="598"/>
      <c r="AH623" s="599"/>
      <c r="AI623" s="600"/>
      <c r="AJ623" s="598"/>
      <c r="AK623" s="599"/>
      <c r="AL623" s="600"/>
      <c r="AM623" s="384"/>
      <c r="AN623" s="256"/>
      <c r="AO623" s="388"/>
    </row>
    <row r="624" spans="4:50" ht="15" customHeight="1" x14ac:dyDescent="0.3">
      <c r="D624" s="244"/>
      <c r="E624" s="341" t="str">
        <f>IF(OR(M624="",M624=0,J624="",G624=""),"",
(IF(AND(F620=$P$4,M624&lt;=$R$4),$V$4,0)+IF(AND(F620=$P$5,M624&lt;=$R$5),$V$5,0)+IF(AND(F620=$P$6,M624&lt;=$R$6),$V$6,0)+IF(AND(F620=$P$7,M624&lt;=$R$7),$V$7,0))
)</f>
        <v/>
      </c>
      <c r="F624" s="153" t="s">
        <v>304</v>
      </c>
      <c r="G624" s="616"/>
      <c r="H624" s="617"/>
      <c r="I624" s="618"/>
      <c r="J624" s="616"/>
      <c r="K624" s="617"/>
      <c r="L624" s="618"/>
      <c r="M624" s="255"/>
      <c r="N624" s="256"/>
      <c r="O624" s="388"/>
      <c r="AA624" s="50"/>
      <c r="AD624" s="244"/>
      <c r="AE624" s="341" t="str">
        <f>IF(OR(AM624="",AM624=0,AJ624="",AG624=""),"",
(IF(AND(AF620=$P$4,AM624&lt;=$R$4),$V$4,0)+IF(AND(AF620=$P$5,AM624&lt;=$R$5),$V$5,0)+IF(AND(AF620=$P$6,AM624&lt;=$R$6),$V$6,0)+IF(AND(AF620=$P$7,AM624&lt;=$R$7),$V$7,0))
)</f>
        <v/>
      </c>
      <c r="AF624" s="153" t="s">
        <v>304</v>
      </c>
      <c r="AG624" s="598"/>
      <c r="AH624" s="599"/>
      <c r="AI624" s="600"/>
      <c r="AJ624" s="598"/>
      <c r="AK624" s="599"/>
      <c r="AL624" s="600"/>
      <c r="AM624" s="384"/>
      <c r="AN624" s="256"/>
      <c r="AO624" s="388"/>
    </row>
    <row r="625" spans="4:50" ht="15" customHeight="1" x14ac:dyDescent="0.3">
      <c r="D625" s="244"/>
      <c r="E625" s="341" t="str">
        <f>IF(OR(M625="",M625=0,J625="",G625=""),"",
(IF(AND(F620=$P$4,M625&lt;=$R$4),$V$4,0)+IF(AND(F620=$P$5,M625&lt;=$R$5),$V$5,0)+IF(AND(F620=$P$6,M625&lt;=$R$6),$V$6,0)+IF(AND(F620=$P$7,M625&lt;=$R$7),$V$7,0))
)</f>
        <v/>
      </c>
      <c r="F625" s="153" t="s">
        <v>305</v>
      </c>
      <c r="G625" s="616"/>
      <c r="H625" s="617"/>
      <c r="I625" s="618"/>
      <c r="J625" s="616"/>
      <c r="K625" s="617"/>
      <c r="L625" s="618"/>
      <c r="M625" s="255"/>
      <c r="N625" s="256"/>
      <c r="O625" s="388"/>
      <c r="AA625" s="50"/>
      <c r="AD625" s="244"/>
      <c r="AE625" s="341" t="str">
        <f>IF(OR(AM625="",AM625=0,AJ625="",AG625=""),"",
(IF(AND(AF620=$P$4,AM625&lt;=$R$4),$V$4,0)+IF(AND(AF620=$P$5,AM625&lt;=$R$5),$V$5,0)+IF(AND(AF620=$P$6,AM625&lt;=$R$6),$V$6,0)+IF(AND(AF620=$P$7,AM625&lt;=$R$7),$V$7,0))
)</f>
        <v/>
      </c>
      <c r="AF625" s="153" t="s">
        <v>305</v>
      </c>
      <c r="AG625" s="598"/>
      <c r="AH625" s="599"/>
      <c r="AI625" s="600"/>
      <c r="AJ625" s="598"/>
      <c r="AK625" s="599"/>
      <c r="AL625" s="600"/>
      <c r="AM625" s="384"/>
      <c r="AN625" s="256"/>
      <c r="AO625" s="388"/>
    </row>
    <row r="626" spans="4:50" ht="15" customHeight="1" x14ac:dyDescent="0.3">
      <c r="D626" s="244"/>
      <c r="E626" s="341" t="str">
        <f>IF(OR(M626="",M626=0,J626="",G626=""),"",
(IF(AND(F620=$P$4,M626&lt;=$R$4),$V$4,0)+IF(AND(F620=$P$5,M626&lt;=$R$5),$V$5,0)+IF(AND(F620=$P$6,M626&lt;=$R$6),$V$6,0)+IF(AND(F620=$P$7,M626&lt;=$R$7),$V$7,0))
)</f>
        <v/>
      </c>
      <c r="F626" s="153" t="s">
        <v>306</v>
      </c>
      <c r="G626" s="616"/>
      <c r="H626" s="617"/>
      <c r="I626" s="618"/>
      <c r="J626" s="616"/>
      <c r="K626" s="617"/>
      <c r="L626" s="618"/>
      <c r="M626" s="255"/>
      <c r="N626" s="256"/>
      <c r="O626" s="388"/>
      <c r="AA626" s="50"/>
      <c r="AD626" s="244"/>
      <c r="AE626" s="341" t="str">
        <f>IF(OR(AM626="",AM626=0,AJ626="",AG626=""),"",
(IF(AND(AF620=$P$4,AM626&lt;=$R$4),$V$4,0)+IF(AND(AF620=$P$5,AM626&lt;=$R$5),$V$5,0)+IF(AND(AF620=$P$6,AM626&lt;=$R$6),$V$6,0)+IF(AND(AF620=$P$7,AM626&lt;=$R$7),$V$7,0))
)</f>
        <v/>
      </c>
      <c r="AF626" s="153" t="s">
        <v>306</v>
      </c>
      <c r="AG626" s="598"/>
      <c r="AH626" s="599"/>
      <c r="AI626" s="600"/>
      <c r="AJ626" s="598"/>
      <c r="AK626" s="599"/>
      <c r="AL626" s="600"/>
      <c r="AM626" s="384"/>
      <c r="AN626" s="256"/>
      <c r="AO626" s="388"/>
    </row>
    <row r="627" spans="4:50" ht="15" customHeight="1" x14ac:dyDescent="0.3">
      <c r="D627" s="244"/>
      <c r="E627" s="341" t="str">
        <f>IF(OR(M627="",M627=0,J627="",G627=""),"",
(IF(AND(F620=$P$4,M627&lt;=$R$4),$V$4,0)+IF(AND(F620=$P$5,M627&lt;=$R$5),$V$5,0)+IF(AND(F620=$P$6,M627&lt;=$R$6),$V$6,0)+IF(AND(F620=$P$7,M627&lt;=$R$7),$V$7,0))
)</f>
        <v/>
      </c>
      <c r="F627" s="153" t="s">
        <v>307</v>
      </c>
      <c r="G627" s="616"/>
      <c r="H627" s="617"/>
      <c r="I627" s="618"/>
      <c r="J627" s="616"/>
      <c r="K627" s="617"/>
      <c r="L627" s="618"/>
      <c r="M627" s="255"/>
      <c r="N627" s="256"/>
      <c r="O627" s="388"/>
      <c r="AA627" s="50"/>
      <c r="AD627" s="244"/>
      <c r="AE627" s="341" t="str">
        <f>IF(OR(AM627="",AM627=0,AJ627="",AG627=""),"",
(IF(AND(AF620=$P$4,AM627&lt;=$R$4),$V$4,0)+IF(AND(AF620=$P$5,AM627&lt;=$R$5),$V$5,0)+IF(AND(AF620=$P$6,AM627&lt;=$R$6),$V$6,0)+IF(AND(AF620=$P$7,AM627&lt;=$R$7),$V$7,0))
)</f>
        <v/>
      </c>
      <c r="AF627" s="153" t="s">
        <v>307</v>
      </c>
      <c r="AG627" s="598"/>
      <c r="AH627" s="599"/>
      <c r="AI627" s="600"/>
      <c r="AJ627" s="598"/>
      <c r="AK627" s="599"/>
      <c r="AL627" s="600"/>
      <c r="AM627" s="384"/>
      <c r="AN627" s="256"/>
      <c r="AO627" s="388"/>
    </row>
    <row r="628" spans="4:50" x14ac:dyDescent="0.3">
      <c r="D628" s="244"/>
      <c r="E628" s="341" t="str">
        <f>IF(OR(M628="",M628=0,J628="",G628=""),"",
(IF(AND(F620=$P$4,M628&lt;=$R$4),$V$4,0)+IF(AND(F620=$P$5,M628&lt;=$R$5),$V$5,0)+IF(AND(F620=$P$6,M628&lt;=$R$6),$V$6,0)+IF(AND(F620=$P$7,M628&lt;=$R$7),$V$7,0))
)</f>
        <v/>
      </c>
      <c r="F628" s="153" t="s">
        <v>308</v>
      </c>
      <c r="G628" s="616"/>
      <c r="H628" s="617"/>
      <c r="I628" s="618"/>
      <c r="J628" s="616"/>
      <c r="K628" s="617"/>
      <c r="L628" s="618"/>
      <c r="M628" s="255"/>
      <c r="N628" s="256"/>
      <c r="O628" s="388"/>
      <c r="AA628" s="50"/>
      <c r="AD628" s="244"/>
      <c r="AE628" s="341" t="str">
        <f>IF(OR(AM628="",AM628=0,AJ628="",AG628=""),"",
(IF(AND(AF620=$P$4,AM628&lt;=$R$4),$V$4,0)+IF(AND(AF620=$P$5,AM628&lt;=$R$5),$V$5,0)+IF(AND(AF620=$P$6,AM628&lt;=$R$6),$V$6,0)+IF(AND(AF620=$P$7,AM628&lt;=$R$7),$V$7,0))
)</f>
        <v/>
      </c>
      <c r="AF628" s="153" t="s">
        <v>308</v>
      </c>
      <c r="AG628" s="598"/>
      <c r="AH628" s="599"/>
      <c r="AI628" s="600"/>
      <c r="AJ628" s="598"/>
      <c r="AK628" s="599"/>
      <c r="AL628" s="600"/>
      <c r="AM628" s="384"/>
      <c r="AN628" s="256"/>
      <c r="AO628" s="388"/>
    </row>
    <row r="629" spans="4:50" ht="16.2" thickBot="1" x14ac:dyDescent="0.35">
      <c r="D629" s="203"/>
      <c r="E629" s="3"/>
      <c r="F629" s="3"/>
      <c r="G629" s="3"/>
      <c r="H629" s="3"/>
      <c r="I629" s="3"/>
      <c r="J629" s="3"/>
      <c r="K629" s="3"/>
      <c r="L629" s="3"/>
      <c r="M629" s="3"/>
      <c r="N629" s="204"/>
      <c r="P629" s="2"/>
      <c r="AA629" s="50"/>
      <c r="AD629" s="203"/>
      <c r="AE629" s="3"/>
      <c r="AF629" s="3"/>
      <c r="AG629" s="3"/>
      <c r="AH629" s="3"/>
      <c r="AI629" s="3"/>
      <c r="AJ629" s="3"/>
      <c r="AK629" s="3"/>
      <c r="AL629" s="3"/>
      <c r="AM629" s="3"/>
      <c r="AN629" s="204"/>
      <c r="AP629" s="2"/>
    </row>
    <row r="630" spans="4:50" x14ac:dyDescent="0.3">
      <c r="D630" s="601" t="str">
        <f>IF(
OR(
OR(F632=$P$4,F632=$P$5,F632=$P$6,F632=$P$7),AND(G634="",G635="",G636="",G637="",G638="",G639="",G640="",J634="",J635="",J636="",J637="",J638="",J639="",J640="",M634="",M635="",M636="",M637="",M638="",M639="",M640="",K631="",K632="")
),
"",
"A Set-Aside must be selected."
)</f>
        <v/>
      </c>
      <c r="E630" s="602"/>
      <c r="F630" s="602"/>
      <c r="G630" s="602"/>
      <c r="H630" s="602"/>
      <c r="I630" s="602"/>
      <c r="J630" s="602"/>
      <c r="K630" s="602"/>
      <c r="L630" s="602"/>
      <c r="M630" s="602"/>
      <c r="N630" s="603"/>
      <c r="O630" s="2"/>
      <c r="AA630" s="50"/>
      <c r="AD630" s="601" t="str">
        <f>IF(
OR(
OR(AF632=$P$4,AF632=$P$5,AF632=$P$6,AF632=$P$7),AND(AG634="",AG635="",AG636="",AG637="",AG638="",AG639="",AG640="",AJ634="",AJ635="",AJ636="",AJ637="",AJ638="",AJ639="",AJ640="",AM634="",AM635="",AM636="",AM637="",AM638="",AM639="",AM640="",AK631="",AK632="")
),
"",
"A Set-Aside must be selected."
)</f>
        <v/>
      </c>
      <c r="AE630" s="602"/>
      <c r="AF630" s="602"/>
      <c r="AG630" s="602"/>
      <c r="AH630" s="602"/>
      <c r="AI630" s="602"/>
      <c r="AJ630" s="602"/>
      <c r="AK630" s="602"/>
      <c r="AL630" s="602"/>
      <c r="AM630" s="602"/>
      <c r="AN630" s="603"/>
      <c r="AO630" s="2"/>
    </row>
    <row r="631" spans="4:50" ht="15.75" customHeight="1" x14ac:dyDescent="0.3">
      <c r="D631" s="199"/>
      <c r="E631" s="9" t="s">
        <v>30</v>
      </c>
      <c r="F631" s="86">
        <f>F619+1</f>
        <v>50</v>
      </c>
      <c r="G631" s="9" t="s">
        <v>175</v>
      </c>
      <c r="H631" s="9"/>
      <c r="I631" s="9"/>
      <c r="J631" s="168" t="s">
        <v>111</v>
      </c>
      <c r="K631" s="148"/>
      <c r="N631" s="200"/>
      <c r="R631" s="596" t="s">
        <v>302</v>
      </c>
      <c r="S631" s="596" t="s">
        <v>303</v>
      </c>
      <c r="T631" s="596" t="s">
        <v>304</v>
      </c>
      <c r="U631" s="596" t="s">
        <v>305</v>
      </c>
      <c r="V631" s="596" t="s">
        <v>306</v>
      </c>
      <c r="W631" s="596" t="s">
        <v>307</v>
      </c>
      <c r="X631" s="596" t="s">
        <v>308</v>
      </c>
      <c r="AA631" s="50"/>
      <c r="AD631" s="199"/>
      <c r="AE631" s="9" t="s">
        <v>30</v>
      </c>
      <c r="AF631" s="86">
        <f>AF619+1</f>
        <v>50</v>
      </c>
      <c r="AG631" s="9" t="s">
        <v>175</v>
      </c>
      <c r="AH631" s="9"/>
      <c r="AI631" s="9"/>
      <c r="AJ631" s="168" t="s">
        <v>111</v>
      </c>
      <c r="AK631" s="382"/>
      <c r="AN631" s="200"/>
      <c r="AR631" s="596" t="s">
        <v>302</v>
      </c>
      <c r="AS631" s="596" t="s">
        <v>303</v>
      </c>
      <c r="AT631" s="596" t="s">
        <v>304</v>
      </c>
      <c r="AU631" s="596" t="s">
        <v>305</v>
      </c>
      <c r="AV631" s="596" t="s">
        <v>306</v>
      </c>
      <c r="AW631" s="596" t="s">
        <v>307</v>
      </c>
      <c r="AX631" s="596" t="s">
        <v>308</v>
      </c>
    </row>
    <row r="632" spans="4:50" x14ac:dyDescent="0.3">
      <c r="D632" s="604" t="s">
        <v>31</v>
      </c>
      <c r="E632" s="594"/>
      <c r="F632" s="151"/>
      <c r="G632" s="86" t="str">
        <f>IF(F632=$P$4,$Q$4,IF(F632=$P$5,$Q$5,IF(F632=$P$6,$Q$6,IF(F632=$P$7,Q$7,IF(F632=$P$8,"","")))))</f>
        <v/>
      </c>
      <c r="H632" s="201"/>
      <c r="I632" s="201"/>
      <c r="J632" s="168" t="s">
        <v>112</v>
      </c>
      <c r="K632" s="148"/>
      <c r="N632" s="200"/>
      <c r="R632" s="596"/>
      <c r="S632" s="596"/>
      <c r="T632" s="596"/>
      <c r="U632" s="596"/>
      <c r="V632" s="596"/>
      <c r="W632" s="596"/>
      <c r="X632" s="596"/>
      <c r="AA632" s="50"/>
      <c r="AD632" s="604" t="s">
        <v>31</v>
      </c>
      <c r="AE632" s="594"/>
      <c r="AF632" s="383"/>
      <c r="AG632" s="86" t="str">
        <f>IF(AF632=$P$4,$Q$4,IF(AF632=$P$5,$Q$5,IF(AF632=$P$6,$Q$6,IF(AF632=$P$7,AQ$7,IF(AF632=$P$8,"","")))))</f>
        <v/>
      </c>
      <c r="AH632" s="201"/>
      <c r="AI632" s="201"/>
      <c r="AJ632" s="168" t="s">
        <v>112</v>
      </c>
      <c r="AK632" s="382"/>
      <c r="AN632" s="200"/>
      <c r="AR632" s="596"/>
      <c r="AS632" s="596"/>
      <c r="AT632" s="596"/>
      <c r="AU632" s="596"/>
      <c r="AV632" s="596"/>
      <c r="AW632" s="596"/>
      <c r="AX632" s="596"/>
    </row>
    <row r="633" spans="4:50" ht="15" customHeight="1" x14ac:dyDescent="0.3">
      <c r="D633" s="244"/>
      <c r="E633" s="230" t="s">
        <v>52</v>
      </c>
      <c r="F633" s="9" t="s">
        <v>32</v>
      </c>
      <c r="G633" s="9" t="s">
        <v>33</v>
      </c>
      <c r="H633" s="9"/>
      <c r="I633" s="9"/>
      <c r="J633" s="9" t="s">
        <v>34</v>
      </c>
      <c r="K633" s="9"/>
      <c r="L633" s="9"/>
      <c r="M633" s="257" t="s">
        <v>35</v>
      </c>
      <c r="N633" s="202"/>
      <c r="O633" s="9"/>
      <c r="P633" s="198" t="s">
        <v>22</v>
      </c>
      <c r="Q633" s="198"/>
      <c r="R633" s="596"/>
      <c r="S633" s="596"/>
      <c r="T633" s="596"/>
      <c r="U633" s="596"/>
      <c r="V633" s="596"/>
      <c r="W633" s="596"/>
      <c r="X633" s="596"/>
      <c r="AA633" s="50"/>
      <c r="AD633" s="244"/>
      <c r="AE633" s="230" t="s">
        <v>52</v>
      </c>
      <c r="AF633" s="9" t="s">
        <v>32</v>
      </c>
      <c r="AG633" s="9" t="s">
        <v>33</v>
      </c>
      <c r="AH633" s="9"/>
      <c r="AI633" s="9"/>
      <c r="AJ633" s="9" t="s">
        <v>34</v>
      </c>
      <c r="AK633" s="9"/>
      <c r="AL633" s="9"/>
      <c r="AM633" s="257" t="s">
        <v>35</v>
      </c>
      <c r="AN633" s="202"/>
      <c r="AO633" s="9"/>
      <c r="AP633" s="198" t="s">
        <v>22</v>
      </c>
      <c r="AQ633" s="198"/>
      <c r="AR633" s="596"/>
      <c r="AS633" s="596"/>
      <c r="AT633" s="596"/>
      <c r="AU633" s="596"/>
      <c r="AV633" s="596"/>
      <c r="AW633" s="596"/>
      <c r="AX633" s="596"/>
    </row>
    <row r="634" spans="4:50" ht="15" customHeight="1" x14ac:dyDescent="0.3">
      <c r="D634" s="244"/>
      <c r="E634" s="355" t="str">
        <f>IF(OR(M634="",M634=0,J634="",G634=""),"",
(IF(AND(F632=$P$4,M634&lt;=$R$4),$V$4,0)+IF(AND(F632=$P$5,M634&lt;=$R$5),$V$5,0)+IF(AND(F632=$P$6,M634&lt;=$R$6),$V$6,0)+IF(AND(F632=$P$7,M634&lt;=$R$7),$V$7,0))
)</f>
        <v/>
      </c>
      <c r="F634" s="153" t="s">
        <v>302</v>
      </c>
      <c r="G634" s="616"/>
      <c r="H634" s="617"/>
      <c r="I634" s="618"/>
      <c r="J634" s="616"/>
      <c r="K634" s="617"/>
      <c r="L634" s="618"/>
      <c r="M634" s="255"/>
      <c r="N634" s="256"/>
      <c r="O634" s="388"/>
      <c r="P634" s="185">
        <f t="shared" ref="P634" si="783">IF(F632="",0,1)</f>
        <v>0</v>
      </c>
      <c r="R634" s="185" t="str">
        <f t="shared" ref="R634" si="784">E634</f>
        <v/>
      </c>
      <c r="S634" s="185" t="str">
        <f t="shared" ref="S634" si="785">E635</f>
        <v/>
      </c>
      <c r="T634" s="185" t="str">
        <f t="shared" ref="T634" si="786">E636</f>
        <v/>
      </c>
      <c r="U634" s="185" t="str">
        <f t="shared" ref="U634" si="787">E637</f>
        <v/>
      </c>
      <c r="V634" s="185" t="str">
        <f t="shared" ref="V634" si="788">E638</f>
        <v/>
      </c>
      <c r="W634" s="185" t="str">
        <f t="shared" ref="W634" si="789">E639</f>
        <v/>
      </c>
      <c r="X634" s="185" t="str">
        <f t="shared" ref="X634" si="790">E640</f>
        <v/>
      </c>
      <c r="AA634" s="50"/>
      <c r="AD634" s="244"/>
      <c r="AE634" s="355" t="str">
        <f>IF(OR(AM634="",AM634=0,AJ634="",AG634=""),"",
(IF(AND(AF632=$P$4,AM634&lt;=$R$4),$V$4,0)+IF(AND(AF632=$P$5,AM634&lt;=$R$5),$V$5,0)+IF(AND(AF632=$P$6,AM634&lt;=$R$6),$V$6,0)+IF(AND(AF632=$P$7,AM634&lt;=$R$7),$V$7,0))
)</f>
        <v/>
      </c>
      <c r="AF634" s="153" t="s">
        <v>302</v>
      </c>
      <c r="AG634" s="598"/>
      <c r="AH634" s="599"/>
      <c r="AI634" s="600"/>
      <c r="AJ634" s="598"/>
      <c r="AK634" s="599"/>
      <c r="AL634" s="600"/>
      <c r="AM634" s="384"/>
      <c r="AN634" s="256"/>
      <c r="AO634" s="388"/>
      <c r="AP634" s="185">
        <f t="shared" ref="AP634" si="791">IF(AF632="",0,1)</f>
        <v>0</v>
      </c>
      <c r="AR634" s="185" t="str">
        <f t="shared" ref="AR634" si="792">AE634</f>
        <v/>
      </c>
      <c r="AS634" s="185" t="str">
        <f t="shared" ref="AS634" si="793">AE635</f>
        <v/>
      </c>
      <c r="AT634" s="185" t="str">
        <f t="shared" ref="AT634" si="794">AE636</f>
        <v/>
      </c>
      <c r="AU634" s="185" t="str">
        <f t="shared" ref="AU634" si="795">AE637</f>
        <v/>
      </c>
      <c r="AV634" s="185" t="str">
        <f t="shared" ref="AV634" si="796">AE638</f>
        <v/>
      </c>
      <c r="AW634" s="185" t="str">
        <f t="shared" ref="AW634" si="797">AE639</f>
        <v/>
      </c>
      <c r="AX634" s="185" t="str">
        <f t="shared" ref="AX634" si="798">AE640</f>
        <v/>
      </c>
    </row>
    <row r="635" spans="4:50" ht="15" customHeight="1" x14ac:dyDescent="0.3">
      <c r="D635" s="244"/>
      <c r="E635" s="341" t="str">
        <f>IF(OR(M635="",M635=0,J635="",G635=""),"",
(IF(AND(F632=$P$4,M635&lt;=$R$4),$V$4,0)+IF(AND(F632=$P$5,M635&lt;=$R$5),$V$5,0)+IF(AND(F632=$P$6,M635&lt;=$R$6),$V$6,0)+IF(AND(F632=$P$7,M635&lt;=$R$7),$V$7,0))
)</f>
        <v/>
      </c>
      <c r="F635" s="153" t="s">
        <v>303</v>
      </c>
      <c r="G635" s="616"/>
      <c r="H635" s="617"/>
      <c r="I635" s="618"/>
      <c r="J635" s="616"/>
      <c r="K635" s="617"/>
      <c r="L635" s="618"/>
      <c r="M635" s="255"/>
      <c r="N635" s="256"/>
      <c r="O635" s="388"/>
      <c r="AA635" s="50"/>
      <c r="AD635" s="244"/>
      <c r="AE635" s="341" t="str">
        <f>IF(OR(AM635="",AM635=0,AJ635="",AG635=""),"",
(IF(AND(AF632=$P$4,AM635&lt;=$R$4),$V$4,0)+IF(AND(AF632=$P$5,AM635&lt;=$R$5),$V$5,0)+IF(AND(AF632=$P$6,AM635&lt;=$R$6),$V$6,0)+IF(AND(AF632=$P$7,AM635&lt;=$R$7),$V$7,0))
)</f>
        <v/>
      </c>
      <c r="AF635" s="153" t="s">
        <v>303</v>
      </c>
      <c r="AG635" s="598"/>
      <c r="AH635" s="599"/>
      <c r="AI635" s="600"/>
      <c r="AJ635" s="598"/>
      <c r="AK635" s="599"/>
      <c r="AL635" s="600"/>
      <c r="AM635" s="384"/>
      <c r="AN635" s="256"/>
      <c r="AO635" s="388"/>
    </row>
    <row r="636" spans="4:50" ht="15" customHeight="1" x14ac:dyDescent="0.3">
      <c r="D636" s="244"/>
      <c r="E636" s="341" t="str">
        <f>IF(OR(M636="",M636=0,J636="",G636=""),"",
(IF(AND(F632=$P$4,M636&lt;=$R$4),$V$4,0)+IF(AND(F632=$P$5,M636&lt;=$R$5),$V$5,0)+IF(AND(F632=$P$6,M636&lt;=$R$6),$V$6,0)+IF(AND(F632=$P$7,M636&lt;=$R$7),$V$7,0))
)</f>
        <v/>
      </c>
      <c r="F636" s="153" t="s">
        <v>304</v>
      </c>
      <c r="G636" s="616"/>
      <c r="H636" s="617"/>
      <c r="I636" s="618"/>
      <c r="J636" s="616"/>
      <c r="K636" s="617"/>
      <c r="L636" s="618"/>
      <c r="M636" s="255"/>
      <c r="N636" s="256"/>
      <c r="O636" s="388"/>
      <c r="AA636" s="50"/>
      <c r="AD636" s="244"/>
      <c r="AE636" s="341" t="str">
        <f>IF(OR(AM636="",AM636=0,AJ636="",AG636=""),"",
(IF(AND(AF632=$P$4,AM636&lt;=$R$4),$V$4,0)+IF(AND(AF632=$P$5,AM636&lt;=$R$5),$V$5,0)+IF(AND(AF632=$P$6,AM636&lt;=$R$6),$V$6,0)+IF(AND(AF632=$P$7,AM636&lt;=$R$7),$V$7,0))
)</f>
        <v/>
      </c>
      <c r="AF636" s="153" t="s">
        <v>304</v>
      </c>
      <c r="AG636" s="598"/>
      <c r="AH636" s="599"/>
      <c r="AI636" s="600"/>
      <c r="AJ636" s="598"/>
      <c r="AK636" s="599"/>
      <c r="AL636" s="600"/>
      <c r="AM636" s="384"/>
      <c r="AN636" s="256"/>
      <c r="AO636" s="388"/>
    </row>
    <row r="637" spans="4:50" ht="15" customHeight="1" x14ac:dyDescent="0.3">
      <c r="D637" s="244"/>
      <c r="E637" s="341" t="str">
        <f>IF(OR(M637="",M637=0,J637="",G637=""),"",
(IF(AND(F632=$P$4,M637&lt;=$R$4),$V$4,0)+IF(AND(F632=$P$5,M637&lt;=$R$5),$V$5,0)+IF(AND(F632=$P$6,M637&lt;=$R$6),$V$6,0)+IF(AND(F632=$P$7,M637&lt;=$R$7),$V$7,0))
)</f>
        <v/>
      </c>
      <c r="F637" s="153" t="s">
        <v>305</v>
      </c>
      <c r="G637" s="616"/>
      <c r="H637" s="617"/>
      <c r="I637" s="618"/>
      <c r="J637" s="616"/>
      <c r="K637" s="617"/>
      <c r="L637" s="618"/>
      <c r="M637" s="255"/>
      <c r="N637" s="256"/>
      <c r="O637" s="388"/>
      <c r="AA637" s="50"/>
      <c r="AD637" s="244"/>
      <c r="AE637" s="341" t="str">
        <f>IF(OR(AM637="",AM637=0,AJ637="",AG637=""),"",
(IF(AND(AF632=$P$4,AM637&lt;=$R$4),$V$4,0)+IF(AND(AF632=$P$5,AM637&lt;=$R$5),$V$5,0)+IF(AND(AF632=$P$6,AM637&lt;=$R$6),$V$6,0)+IF(AND(AF632=$P$7,AM637&lt;=$R$7),$V$7,0))
)</f>
        <v/>
      </c>
      <c r="AF637" s="153" t="s">
        <v>305</v>
      </c>
      <c r="AG637" s="598"/>
      <c r="AH637" s="599"/>
      <c r="AI637" s="600"/>
      <c r="AJ637" s="598"/>
      <c r="AK637" s="599"/>
      <c r="AL637" s="600"/>
      <c r="AM637" s="384"/>
      <c r="AN637" s="256"/>
      <c r="AO637" s="388"/>
    </row>
    <row r="638" spans="4:50" x14ac:dyDescent="0.3">
      <c r="D638" s="244"/>
      <c r="E638" s="341" t="str">
        <f>IF(OR(M638="",M638=0,J638="",G638=""),"",
(IF(AND(F632=$P$4,M638&lt;=$R$4),$V$4,0)+IF(AND(F632=$P$5,M638&lt;=$R$5),$V$5,0)+IF(AND(F632=$P$6,M638&lt;=$R$6),$V$6,0)+IF(AND(F632=$P$7,M638&lt;=$R$7),$V$7,0))
)</f>
        <v/>
      </c>
      <c r="F638" s="153" t="s">
        <v>306</v>
      </c>
      <c r="G638" s="616"/>
      <c r="H638" s="617"/>
      <c r="I638" s="618"/>
      <c r="J638" s="616"/>
      <c r="K638" s="617"/>
      <c r="L638" s="618"/>
      <c r="M638" s="255"/>
      <c r="N638" s="256"/>
      <c r="O638" s="388"/>
      <c r="AA638" s="50"/>
      <c r="AD638" s="244"/>
      <c r="AE638" s="341" t="str">
        <f>IF(OR(AM638="",AM638=0,AJ638="",AG638=""),"",
(IF(AND(AF632=$P$4,AM638&lt;=$R$4),$V$4,0)+IF(AND(AF632=$P$5,AM638&lt;=$R$5),$V$5,0)+IF(AND(AF632=$P$6,AM638&lt;=$R$6),$V$6,0)+IF(AND(AF632=$P$7,AM638&lt;=$R$7),$V$7,0))
)</f>
        <v/>
      </c>
      <c r="AF638" s="153" t="s">
        <v>306</v>
      </c>
      <c r="AG638" s="598"/>
      <c r="AH638" s="599"/>
      <c r="AI638" s="600"/>
      <c r="AJ638" s="598"/>
      <c r="AK638" s="599"/>
      <c r="AL638" s="600"/>
      <c r="AM638" s="384"/>
      <c r="AN638" s="256"/>
      <c r="AO638" s="388"/>
    </row>
    <row r="639" spans="4:50" x14ac:dyDescent="0.3">
      <c r="D639" s="244"/>
      <c r="E639" s="341" t="str">
        <f>IF(OR(M639="",M639=0,J639="",G639=""),"",
(IF(AND(F632=$P$4,M639&lt;=$R$4),$V$4,0)+IF(AND(F632=$P$5,M639&lt;=$R$5),$V$5,0)+IF(AND(F632=$P$6,M639&lt;=$R$6),$V$6,0)+IF(AND(F632=$P$7,M639&lt;=$R$7),$V$7,0))
)</f>
        <v/>
      </c>
      <c r="F639" s="153" t="s">
        <v>307</v>
      </c>
      <c r="G639" s="616"/>
      <c r="H639" s="617"/>
      <c r="I639" s="618"/>
      <c r="J639" s="616"/>
      <c r="K639" s="617"/>
      <c r="L639" s="618"/>
      <c r="M639" s="255"/>
      <c r="N639" s="256"/>
      <c r="O639" s="388"/>
      <c r="AA639" s="50"/>
      <c r="AD639" s="244"/>
      <c r="AE639" s="341" t="str">
        <f>IF(OR(AM639="",AM639=0,AJ639="",AG639=""),"",
(IF(AND(AF632=$P$4,AM639&lt;=$R$4),$V$4,0)+IF(AND(AF632=$P$5,AM639&lt;=$R$5),$V$5,0)+IF(AND(AF632=$P$6,AM639&lt;=$R$6),$V$6,0)+IF(AND(AF632=$P$7,AM639&lt;=$R$7),$V$7,0))
)</f>
        <v/>
      </c>
      <c r="AF639" s="153" t="s">
        <v>307</v>
      </c>
      <c r="AG639" s="598"/>
      <c r="AH639" s="599"/>
      <c r="AI639" s="600"/>
      <c r="AJ639" s="598"/>
      <c r="AK639" s="599"/>
      <c r="AL639" s="600"/>
      <c r="AM639" s="384"/>
      <c r="AN639" s="256"/>
      <c r="AO639" s="388"/>
    </row>
    <row r="640" spans="4:50" x14ac:dyDescent="0.3">
      <c r="D640" s="244"/>
      <c r="E640" s="341" t="str">
        <f>IF(OR(M640="",M640=0,J640="",G640=""),"",
(IF(AND(F632=$P$4,M640&lt;=$R$4),$V$4,0)+IF(AND(F632=$P$5,M640&lt;=$R$5),$V$5,0)+IF(AND(F632=$P$6,M640&lt;=$R$6),$V$6,0)+IF(AND(F632=$P$7,M640&lt;=$R$7),$V$7,0))
)</f>
        <v/>
      </c>
      <c r="F640" s="153" t="s">
        <v>308</v>
      </c>
      <c r="G640" s="616"/>
      <c r="H640" s="617"/>
      <c r="I640" s="618"/>
      <c r="J640" s="616"/>
      <c r="K640" s="617"/>
      <c r="L640" s="618"/>
      <c r="M640" s="255"/>
      <c r="N640" s="256"/>
      <c r="O640" s="388"/>
      <c r="AA640" s="50"/>
      <c r="AD640" s="244"/>
      <c r="AE640" s="341" t="str">
        <f>IF(OR(AM640="",AM640=0,AJ640="",AG640=""),"",
(IF(AND(AF632=$P$4,AM640&lt;=$R$4),$V$4,0)+IF(AND(AF632=$P$5,AM640&lt;=$R$5),$V$5,0)+IF(AND(AF632=$P$6,AM640&lt;=$R$6),$V$6,0)+IF(AND(AF632=$P$7,AM640&lt;=$R$7),$V$7,0))
)</f>
        <v/>
      </c>
      <c r="AF640" s="153" t="s">
        <v>308</v>
      </c>
      <c r="AG640" s="598"/>
      <c r="AH640" s="599"/>
      <c r="AI640" s="600"/>
      <c r="AJ640" s="598"/>
      <c r="AK640" s="599"/>
      <c r="AL640" s="600"/>
      <c r="AM640" s="384"/>
      <c r="AN640" s="256"/>
      <c r="AO640" s="388"/>
    </row>
    <row r="641" spans="4:50" ht="16.2" thickBot="1" x14ac:dyDescent="0.35">
      <c r="D641" s="203"/>
      <c r="E641" s="3"/>
      <c r="F641" s="3"/>
      <c r="G641" s="3"/>
      <c r="H641" s="3"/>
      <c r="I641" s="3"/>
      <c r="J641" s="3"/>
      <c r="K641" s="3"/>
      <c r="L641" s="3"/>
      <c r="M641" s="3"/>
      <c r="N641" s="204"/>
      <c r="P641" s="2"/>
      <c r="AA641" s="50"/>
      <c r="AD641" s="203"/>
      <c r="AE641" s="3"/>
      <c r="AF641" s="3"/>
      <c r="AG641" s="3"/>
      <c r="AH641" s="3"/>
      <c r="AI641" s="3"/>
      <c r="AJ641" s="3"/>
      <c r="AK641" s="3"/>
      <c r="AL641" s="3"/>
      <c r="AM641" s="3"/>
      <c r="AN641" s="204"/>
      <c r="AP641" s="2"/>
    </row>
    <row r="642" spans="4:50" x14ac:dyDescent="0.3">
      <c r="D642" s="601" t="str">
        <f>IF(
OR(
OR(F644=$P$4,F644=$P$5,F644=$P$6,F644=$P$7),AND(G646="",G647="",G648="",G649="",G650="",G651="",G652="",J646="",J647="",J648="",J649="",J650="",J651="",J652="",M646="",M647="",M648="",M649="",M650="",M651="",M652="",K643="",K644="")
),
"",
"A Set-Aside must be selected."
)</f>
        <v/>
      </c>
      <c r="E642" s="602"/>
      <c r="F642" s="602"/>
      <c r="G642" s="602"/>
      <c r="H642" s="602"/>
      <c r="I642" s="602"/>
      <c r="J642" s="602"/>
      <c r="K642" s="602"/>
      <c r="L642" s="602"/>
      <c r="M642" s="602"/>
      <c r="N642" s="603"/>
      <c r="O642" s="2"/>
      <c r="AA642" s="50"/>
      <c r="AD642" s="601" t="str">
        <f>IF(
OR(
OR(AF644=$P$4,AF644=$P$5,AF644=$P$6,AF644=$P$7),AND(AG646="",AG647="",AG648="",AG649="",AG650="",AG651="",AG652="",AJ646="",AJ647="",AJ648="",AJ649="",AJ650="",AJ651="",AJ652="",AM646="",AM647="",AM648="",AM649="",AM650="",AM651="",AM652="",AK643="",AK644="")
),
"",
"A Set-Aside must be selected."
)</f>
        <v/>
      </c>
      <c r="AE642" s="602"/>
      <c r="AF642" s="602"/>
      <c r="AG642" s="602"/>
      <c r="AH642" s="602"/>
      <c r="AI642" s="602"/>
      <c r="AJ642" s="602"/>
      <c r="AK642" s="602"/>
      <c r="AL642" s="602"/>
      <c r="AM642" s="602"/>
      <c r="AN642" s="603"/>
      <c r="AO642" s="2"/>
    </row>
    <row r="643" spans="4:50" ht="15" customHeight="1" x14ac:dyDescent="0.3">
      <c r="D643" s="199"/>
      <c r="E643" s="9" t="s">
        <v>30</v>
      </c>
      <c r="F643" s="86">
        <f>F631+1</f>
        <v>51</v>
      </c>
      <c r="G643" s="9" t="s">
        <v>175</v>
      </c>
      <c r="H643" s="9"/>
      <c r="I643" s="9"/>
      <c r="J643" s="168" t="s">
        <v>111</v>
      </c>
      <c r="K643" s="148"/>
      <c r="N643" s="200"/>
      <c r="R643" s="596" t="s">
        <v>302</v>
      </c>
      <c r="S643" s="596" t="s">
        <v>303</v>
      </c>
      <c r="T643" s="596" t="s">
        <v>304</v>
      </c>
      <c r="U643" s="596" t="s">
        <v>305</v>
      </c>
      <c r="V643" s="596" t="s">
        <v>306</v>
      </c>
      <c r="W643" s="596" t="s">
        <v>307</v>
      </c>
      <c r="X643" s="596" t="s">
        <v>308</v>
      </c>
      <c r="AA643" s="50"/>
      <c r="AD643" s="199"/>
      <c r="AE643" s="9" t="s">
        <v>30</v>
      </c>
      <c r="AF643" s="86">
        <f>AF631+1</f>
        <v>51</v>
      </c>
      <c r="AG643" s="9" t="s">
        <v>175</v>
      </c>
      <c r="AH643" s="9"/>
      <c r="AI643" s="9"/>
      <c r="AJ643" s="168" t="s">
        <v>111</v>
      </c>
      <c r="AK643" s="382"/>
      <c r="AN643" s="200"/>
      <c r="AR643" s="596" t="s">
        <v>302</v>
      </c>
      <c r="AS643" s="596" t="s">
        <v>303</v>
      </c>
      <c r="AT643" s="596" t="s">
        <v>304</v>
      </c>
      <c r="AU643" s="596" t="s">
        <v>305</v>
      </c>
      <c r="AV643" s="596" t="s">
        <v>306</v>
      </c>
      <c r="AW643" s="596" t="s">
        <v>307</v>
      </c>
      <c r="AX643" s="596" t="s">
        <v>308</v>
      </c>
    </row>
    <row r="644" spans="4:50" ht="15" customHeight="1" x14ac:dyDescent="0.3">
      <c r="D644" s="604" t="s">
        <v>31</v>
      </c>
      <c r="E644" s="594"/>
      <c r="F644" s="151"/>
      <c r="G644" s="86" t="str">
        <f>IF(F644=$P$4,$Q$4,IF(F644=$P$5,$Q$5,IF(F644=$P$6,$Q$6,IF(F644=$P$7,Q$7,IF(F644=$P$8,"","")))))</f>
        <v/>
      </c>
      <c r="H644" s="201"/>
      <c r="I644" s="201"/>
      <c r="J644" s="168" t="s">
        <v>112</v>
      </c>
      <c r="K644" s="148"/>
      <c r="N644" s="200"/>
      <c r="R644" s="596"/>
      <c r="S644" s="596"/>
      <c r="T644" s="596"/>
      <c r="U644" s="596"/>
      <c r="V644" s="596"/>
      <c r="W644" s="596"/>
      <c r="X644" s="596"/>
      <c r="AA644" s="50"/>
      <c r="AD644" s="604" t="s">
        <v>31</v>
      </c>
      <c r="AE644" s="594"/>
      <c r="AF644" s="383"/>
      <c r="AG644" s="86" t="str">
        <f>IF(AF644=$P$4,$Q$4,IF(AF644=$P$5,$Q$5,IF(AF644=$P$6,$Q$6,IF(AF644=$P$7,AQ$7,IF(AF644=$P$8,"","")))))</f>
        <v/>
      </c>
      <c r="AH644" s="201"/>
      <c r="AI644" s="201"/>
      <c r="AJ644" s="168" t="s">
        <v>112</v>
      </c>
      <c r="AK644" s="382"/>
      <c r="AN644" s="200"/>
      <c r="AR644" s="596"/>
      <c r="AS644" s="596"/>
      <c r="AT644" s="596"/>
      <c r="AU644" s="596"/>
      <c r="AV644" s="596"/>
      <c r="AW644" s="596"/>
      <c r="AX644" s="596"/>
    </row>
    <row r="645" spans="4:50" ht="15" customHeight="1" x14ac:dyDescent="0.3">
      <c r="D645" s="244"/>
      <c r="E645" s="230" t="s">
        <v>52</v>
      </c>
      <c r="F645" s="9" t="s">
        <v>32</v>
      </c>
      <c r="G645" s="9" t="s">
        <v>33</v>
      </c>
      <c r="H645" s="9"/>
      <c r="I645" s="9"/>
      <c r="J645" s="9" t="s">
        <v>34</v>
      </c>
      <c r="K645" s="9"/>
      <c r="L645" s="9"/>
      <c r="M645" s="257" t="s">
        <v>35</v>
      </c>
      <c r="N645" s="202"/>
      <c r="O645" s="9"/>
      <c r="P645" s="198" t="s">
        <v>22</v>
      </c>
      <c r="Q645" s="198"/>
      <c r="R645" s="596"/>
      <c r="S645" s="596"/>
      <c r="T645" s="596"/>
      <c r="U645" s="596"/>
      <c r="V645" s="596"/>
      <c r="W645" s="596"/>
      <c r="X645" s="596"/>
      <c r="AA645" s="50"/>
      <c r="AD645" s="244"/>
      <c r="AE645" s="230" t="s">
        <v>52</v>
      </c>
      <c r="AF645" s="9" t="s">
        <v>32</v>
      </c>
      <c r="AG645" s="9" t="s">
        <v>33</v>
      </c>
      <c r="AH645" s="9"/>
      <c r="AI645" s="9"/>
      <c r="AJ645" s="9" t="s">
        <v>34</v>
      </c>
      <c r="AK645" s="9"/>
      <c r="AL645" s="9"/>
      <c r="AM645" s="257" t="s">
        <v>35</v>
      </c>
      <c r="AN645" s="202"/>
      <c r="AO645" s="9"/>
      <c r="AP645" s="198" t="s">
        <v>22</v>
      </c>
      <c r="AQ645" s="198"/>
      <c r="AR645" s="596"/>
      <c r="AS645" s="596"/>
      <c r="AT645" s="596"/>
      <c r="AU645" s="596"/>
      <c r="AV645" s="596"/>
      <c r="AW645" s="596"/>
      <c r="AX645" s="596"/>
    </row>
    <row r="646" spans="4:50" ht="15" customHeight="1" x14ac:dyDescent="0.3">
      <c r="D646" s="244"/>
      <c r="E646" s="355" t="str">
        <f>IF(OR(M646="",M646=0,J646="",G646=""),"",
(IF(AND(F644=$P$4,M646&lt;=$R$4),$V$4,0)+IF(AND(F644=$P$5,M646&lt;=$R$5),$V$5,0)+IF(AND(F644=$P$6,M646&lt;=$R$6),$V$6,0)+IF(AND(F644=$P$7,M646&lt;=$R$7),$V$7,0))
)</f>
        <v/>
      </c>
      <c r="F646" s="153" t="s">
        <v>302</v>
      </c>
      <c r="G646" s="616"/>
      <c r="H646" s="617"/>
      <c r="I646" s="618"/>
      <c r="J646" s="616"/>
      <c r="K646" s="617"/>
      <c r="L646" s="618"/>
      <c r="M646" s="255"/>
      <c r="N646" s="256"/>
      <c r="O646" s="388"/>
      <c r="P646" s="185">
        <f t="shared" ref="P646" si="799">IF(F644="",0,1)</f>
        <v>0</v>
      </c>
      <c r="R646" s="185" t="str">
        <f t="shared" ref="R646" si="800">E646</f>
        <v/>
      </c>
      <c r="S646" s="185" t="str">
        <f t="shared" ref="S646" si="801">E647</f>
        <v/>
      </c>
      <c r="T646" s="185" t="str">
        <f t="shared" ref="T646" si="802">E648</f>
        <v/>
      </c>
      <c r="U646" s="185" t="str">
        <f t="shared" ref="U646" si="803">E649</f>
        <v/>
      </c>
      <c r="V646" s="185" t="str">
        <f t="shared" ref="V646" si="804">E650</f>
        <v/>
      </c>
      <c r="W646" s="185" t="str">
        <f t="shared" ref="W646" si="805">E651</f>
        <v/>
      </c>
      <c r="X646" s="185" t="str">
        <f t="shared" ref="X646" si="806">E652</f>
        <v/>
      </c>
      <c r="AA646" s="50"/>
      <c r="AD646" s="244"/>
      <c r="AE646" s="355" t="str">
        <f>IF(OR(AM646="",AM646=0,AJ646="",AG646=""),"",
(IF(AND(AF644=$P$4,AM646&lt;=$R$4),$V$4,0)+IF(AND(AF644=$P$5,AM646&lt;=$R$5),$V$5,0)+IF(AND(AF644=$P$6,AM646&lt;=$R$6),$V$6,0)+IF(AND(AF644=$P$7,AM646&lt;=$R$7),$V$7,0))
)</f>
        <v/>
      </c>
      <c r="AF646" s="153" t="s">
        <v>302</v>
      </c>
      <c r="AG646" s="598"/>
      <c r="AH646" s="599"/>
      <c r="AI646" s="600"/>
      <c r="AJ646" s="598"/>
      <c r="AK646" s="599"/>
      <c r="AL646" s="600"/>
      <c r="AM646" s="384"/>
      <c r="AN646" s="256"/>
      <c r="AO646" s="388"/>
      <c r="AP646" s="185">
        <f t="shared" ref="AP646" si="807">IF(AF644="",0,1)</f>
        <v>0</v>
      </c>
      <c r="AR646" s="185" t="str">
        <f t="shared" ref="AR646" si="808">AE646</f>
        <v/>
      </c>
      <c r="AS646" s="185" t="str">
        <f t="shared" ref="AS646" si="809">AE647</f>
        <v/>
      </c>
      <c r="AT646" s="185" t="str">
        <f t="shared" ref="AT646" si="810">AE648</f>
        <v/>
      </c>
      <c r="AU646" s="185" t="str">
        <f t="shared" ref="AU646" si="811">AE649</f>
        <v/>
      </c>
      <c r="AV646" s="185" t="str">
        <f t="shared" ref="AV646" si="812">AE650</f>
        <v/>
      </c>
      <c r="AW646" s="185" t="str">
        <f t="shared" ref="AW646" si="813">AE651</f>
        <v/>
      </c>
      <c r="AX646" s="185" t="str">
        <f t="shared" ref="AX646" si="814">AE652</f>
        <v/>
      </c>
    </row>
    <row r="647" spans="4:50" ht="15" customHeight="1" x14ac:dyDescent="0.3">
      <c r="D647" s="244"/>
      <c r="E647" s="341" t="str">
        <f>IF(OR(M647="",M647=0,J647="",G647=""),"",
(IF(AND(F644=$P$4,M647&lt;=$R$4),$V$4,0)+IF(AND(F644=$P$5,M647&lt;=$R$5),$V$5,0)+IF(AND(F644=$P$6,M647&lt;=$R$6),$V$6,0)+IF(AND(F644=$P$7,M647&lt;=$R$7),$V$7,0))
)</f>
        <v/>
      </c>
      <c r="F647" s="153" t="s">
        <v>303</v>
      </c>
      <c r="G647" s="616"/>
      <c r="H647" s="617"/>
      <c r="I647" s="618"/>
      <c r="J647" s="616"/>
      <c r="K647" s="617"/>
      <c r="L647" s="618"/>
      <c r="M647" s="255"/>
      <c r="N647" s="256"/>
      <c r="O647" s="388"/>
      <c r="AA647" s="50"/>
      <c r="AD647" s="244"/>
      <c r="AE647" s="341" t="str">
        <f>IF(OR(AM647="",AM647=0,AJ647="",AG647=""),"",
(IF(AND(AF644=$P$4,AM647&lt;=$R$4),$V$4,0)+IF(AND(AF644=$P$5,AM647&lt;=$R$5),$V$5,0)+IF(AND(AF644=$P$6,AM647&lt;=$R$6),$V$6,0)+IF(AND(AF644=$P$7,AM647&lt;=$R$7),$V$7,0))
)</f>
        <v/>
      </c>
      <c r="AF647" s="153" t="s">
        <v>303</v>
      </c>
      <c r="AG647" s="598"/>
      <c r="AH647" s="599"/>
      <c r="AI647" s="600"/>
      <c r="AJ647" s="598"/>
      <c r="AK647" s="599"/>
      <c r="AL647" s="600"/>
      <c r="AM647" s="384"/>
      <c r="AN647" s="256"/>
      <c r="AO647" s="388"/>
    </row>
    <row r="648" spans="4:50" x14ac:dyDescent="0.3">
      <c r="D648" s="244"/>
      <c r="E648" s="341" t="str">
        <f>IF(OR(M648="",M648=0,J648="",G648=""),"",
(IF(AND(F644=$P$4,M648&lt;=$R$4),$V$4,0)+IF(AND(F644=$P$5,M648&lt;=$R$5),$V$5,0)+IF(AND(F644=$P$6,M648&lt;=$R$6),$V$6,0)+IF(AND(F644=$P$7,M648&lt;=$R$7),$V$7,0))
)</f>
        <v/>
      </c>
      <c r="F648" s="153" t="s">
        <v>304</v>
      </c>
      <c r="G648" s="616"/>
      <c r="H648" s="617"/>
      <c r="I648" s="618"/>
      <c r="J648" s="616"/>
      <c r="K648" s="617"/>
      <c r="L648" s="618"/>
      <c r="M648" s="255"/>
      <c r="N648" s="256"/>
      <c r="O648" s="388"/>
      <c r="AA648" s="50"/>
      <c r="AD648" s="244"/>
      <c r="AE648" s="341" t="str">
        <f>IF(OR(AM648="",AM648=0,AJ648="",AG648=""),"",
(IF(AND(AF644=$P$4,AM648&lt;=$R$4),$V$4,0)+IF(AND(AF644=$P$5,AM648&lt;=$R$5),$V$5,0)+IF(AND(AF644=$P$6,AM648&lt;=$R$6),$V$6,0)+IF(AND(AF644=$P$7,AM648&lt;=$R$7),$V$7,0))
)</f>
        <v/>
      </c>
      <c r="AF648" s="153" t="s">
        <v>304</v>
      </c>
      <c r="AG648" s="598"/>
      <c r="AH648" s="599"/>
      <c r="AI648" s="600"/>
      <c r="AJ648" s="598"/>
      <c r="AK648" s="599"/>
      <c r="AL648" s="600"/>
      <c r="AM648" s="384"/>
      <c r="AN648" s="256"/>
      <c r="AO648" s="388"/>
    </row>
    <row r="649" spans="4:50" x14ac:dyDescent="0.3">
      <c r="D649" s="244"/>
      <c r="E649" s="341" t="str">
        <f>IF(OR(M649="",M649=0,J649="",G649=""),"",
(IF(AND(F644=$P$4,M649&lt;=$R$4),$V$4,0)+IF(AND(F644=$P$5,M649&lt;=$R$5),$V$5,0)+IF(AND(F644=$P$6,M649&lt;=$R$6),$V$6,0)+IF(AND(F644=$P$7,M649&lt;=$R$7),$V$7,0))
)</f>
        <v/>
      </c>
      <c r="F649" s="153" t="s">
        <v>305</v>
      </c>
      <c r="G649" s="616"/>
      <c r="H649" s="617"/>
      <c r="I649" s="618"/>
      <c r="J649" s="616"/>
      <c r="K649" s="617"/>
      <c r="L649" s="618"/>
      <c r="M649" s="255"/>
      <c r="N649" s="256"/>
      <c r="O649" s="388"/>
      <c r="AA649" s="50"/>
      <c r="AD649" s="244"/>
      <c r="AE649" s="341" t="str">
        <f>IF(OR(AM649="",AM649=0,AJ649="",AG649=""),"",
(IF(AND(AF644=$P$4,AM649&lt;=$R$4),$V$4,0)+IF(AND(AF644=$P$5,AM649&lt;=$R$5),$V$5,0)+IF(AND(AF644=$P$6,AM649&lt;=$R$6),$V$6,0)+IF(AND(AF644=$P$7,AM649&lt;=$R$7),$V$7,0))
)</f>
        <v/>
      </c>
      <c r="AF649" s="153" t="s">
        <v>305</v>
      </c>
      <c r="AG649" s="598"/>
      <c r="AH649" s="599"/>
      <c r="AI649" s="600"/>
      <c r="AJ649" s="598"/>
      <c r="AK649" s="599"/>
      <c r="AL649" s="600"/>
      <c r="AM649" s="384"/>
      <c r="AN649" s="256"/>
      <c r="AO649" s="388"/>
    </row>
    <row r="650" spans="4:50" x14ac:dyDescent="0.3">
      <c r="D650" s="244"/>
      <c r="E650" s="341" t="str">
        <f>IF(OR(M650="",M650=0,J650="",G650=""),"",
(IF(AND(F644=$P$4,M650&lt;=$R$4),$V$4,0)+IF(AND(F644=$P$5,M650&lt;=$R$5),$V$5,0)+IF(AND(F644=$P$6,M650&lt;=$R$6),$V$6,0)+IF(AND(F644=$P$7,M650&lt;=$R$7),$V$7,0))
)</f>
        <v/>
      </c>
      <c r="F650" s="153" t="s">
        <v>306</v>
      </c>
      <c r="G650" s="616"/>
      <c r="H650" s="617"/>
      <c r="I650" s="618"/>
      <c r="J650" s="616"/>
      <c r="K650" s="617"/>
      <c r="L650" s="618"/>
      <c r="M650" s="255"/>
      <c r="N650" s="256"/>
      <c r="O650" s="388"/>
      <c r="AA650" s="50"/>
      <c r="AD650" s="244"/>
      <c r="AE650" s="341" t="str">
        <f>IF(OR(AM650="",AM650=0,AJ650="",AG650=""),"",
(IF(AND(AF644=$P$4,AM650&lt;=$R$4),$V$4,0)+IF(AND(AF644=$P$5,AM650&lt;=$R$5),$V$5,0)+IF(AND(AF644=$P$6,AM650&lt;=$R$6),$V$6,0)+IF(AND(AF644=$P$7,AM650&lt;=$R$7),$V$7,0))
)</f>
        <v/>
      </c>
      <c r="AF650" s="153" t="s">
        <v>306</v>
      </c>
      <c r="AG650" s="598"/>
      <c r="AH650" s="599"/>
      <c r="AI650" s="600"/>
      <c r="AJ650" s="598"/>
      <c r="AK650" s="599"/>
      <c r="AL650" s="600"/>
      <c r="AM650" s="384"/>
      <c r="AN650" s="256"/>
      <c r="AO650" s="388"/>
    </row>
    <row r="651" spans="4:50" x14ac:dyDescent="0.3">
      <c r="D651" s="244"/>
      <c r="E651" s="341" t="str">
        <f>IF(OR(M651="",M651=0,J651="",G651=""),"",
(IF(AND(F644=$P$4,M651&lt;=$R$4),$V$4,0)+IF(AND(F644=$P$5,M651&lt;=$R$5),$V$5,0)+IF(AND(F644=$P$6,M651&lt;=$R$6),$V$6,0)+IF(AND(F644=$P$7,M651&lt;=$R$7),$V$7,0))
)</f>
        <v/>
      </c>
      <c r="F651" s="153" t="s">
        <v>307</v>
      </c>
      <c r="G651" s="616"/>
      <c r="H651" s="617"/>
      <c r="I651" s="618"/>
      <c r="J651" s="616"/>
      <c r="K651" s="617"/>
      <c r="L651" s="618"/>
      <c r="M651" s="255"/>
      <c r="N651" s="256"/>
      <c r="O651" s="388"/>
      <c r="AA651" s="50"/>
      <c r="AD651" s="244"/>
      <c r="AE651" s="341" t="str">
        <f>IF(OR(AM651="",AM651=0,AJ651="",AG651=""),"",
(IF(AND(AF644=$P$4,AM651&lt;=$R$4),$V$4,0)+IF(AND(AF644=$P$5,AM651&lt;=$R$5),$V$5,0)+IF(AND(AF644=$P$6,AM651&lt;=$R$6),$V$6,0)+IF(AND(AF644=$P$7,AM651&lt;=$R$7),$V$7,0))
)</f>
        <v/>
      </c>
      <c r="AF651" s="153" t="s">
        <v>307</v>
      </c>
      <c r="AG651" s="598"/>
      <c r="AH651" s="599"/>
      <c r="AI651" s="600"/>
      <c r="AJ651" s="598"/>
      <c r="AK651" s="599"/>
      <c r="AL651" s="600"/>
      <c r="AM651" s="384"/>
      <c r="AN651" s="256"/>
      <c r="AO651" s="388"/>
    </row>
    <row r="652" spans="4:50" x14ac:dyDescent="0.3">
      <c r="D652" s="244"/>
      <c r="E652" s="341" t="str">
        <f>IF(OR(M652="",M652=0,J652="",G652=""),"",
(IF(AND(F644=$P$4,M652&lt;=$R$4),$V$4,0)+IF(AND(F644=$P$5,M652&lt;=$R$5),$V$5,0)+IF(AND(F644=$P$6,M652&lt;=$R$6),$V$6,0)+IF(AND(F644=$P$7,M652&lt;=$R$7),$V$7,0))
)</f>
        <v/>
      </c>
      <c r="F652" s="153" t="s">
        <v>308</v>
      </c>
      <c r="G652" s="616"/>
      <c r="H652" s="617"/>
      <c r="I652" s="618"/>
      <c r="J652" s="616"/>
      <c r="K652" s="617"/>
      <c r="L652" s="618"/>
      <c r="M652" s="255"/>
      <c r="N652" s="256"/>
      <c r="O652" s="388"/>
      <c r="AA652" s="50"/>
      <c r="AD652" s="244"/>
      <c r="AE652" s="341" t="str">
        <f>IF(OR(AM652="",AM652=0,AJ652="",AG652=""),"",
(IF(AND(AF644=$P$4,AM652&lt;=$R$4),$V$4,0)+IF(AND(AF644=$P$5,AM652&lt;=$R$5),$V$5,0)+IF(AND(AF644=$P$6,AM652&lt;=$R$6),$V$6,0)+IF(AND(AF644=$P$7,AM652&lt;=$R$7),$V$7,0))
)</f>
        <v/>
      </c>
      <c r="AF652" s="153" t="s">
        <v>308</v>
      </c>
      <c r="AG652" s="598"/>
      <c r="AH652" s="599"/>
      <c r="AI652" s="600"/>
      <c r="AJ652" s="598"/>
      <c r="AK652" s="599"/>
      <c r="AL652" s="600"/>
      <c r="AM652" s="384"/>
      <c r="AN652" s="256"/>
      <c r="AO652" s="388"/>
    </row>
    <row r="653" spans="4:50" ht="15" customHeight="1" thickBot="1" x14ac:dyDescent="0.35">
      <c r="D653" s="203"/>
      <c r="E653" s="3"/>
      <c r="F653" s="3"/>
      <c r="G653" s="3"/>
      <c r="H653" s="3"/>
      <c r="I653" s="3"/>
      <c r="J653" s="3"/>
      <c r="K653" s="3"/>
      <c r="L653" s="3"/>
      <c r="M653" s="3"/>
      <c r="N653" s="204"/>
      <c r="P653" s="2"/>
      <c r="AA653" s="50"/>
      <c r="AD653" s="203"/>
      <c r="AE653" s="3"/>
      <c r="AF653" s="3"/>
      <c r="AG653" s="3"/>
      <c r="AH653" s="3"/>
      <c r="AI653" s="3"/>
      <c r="AJ653" s="3"/>
      <c r="AK653" s="3"/>
      <c r="AL653" s="3"/>
      <c r="AM653" s="3"/>
      <c r="AN653" s="204"/>
      <c r="AP653" s="2"/>
    </row>
    <row r="654" spans="4:50" ht="15" customHeight="1" x14ac:dyDescent="0.3">
      <c r="D654" s="601" t="str">
        <f>IF(
OR(
OR(F656=$P$4,F656=$P$5,F656=$P$6,F656=$P$7),AND(G658="",G659="",G660="",G661="",G662="",G663="",G664="",J658="",J659="",J660="",J661="",J662="",J663="",J664="",M658="",M659="",M660="",M661="",M662="",M663="",M664="",K655="",K656="")
),
"",
"A Set-Aside must be selected."
)</f>
        <v/>
      </c>
      <c r="E654" s="602"/>
      <c r="F654" s="602"/>
      <c r="G654" s="602"/>
      <c r="H654" s="602"/>
      <c r="I654" s="602"/>
      <c r="J654" s="602"/>
      <c r="K654" s="602"/>
      <c r="L654" s="602"/>
      <c r="M654" s="602"/>
      <c r="N654" s="603"/>
      <c r="O654" s="2"/>
      <c r="AA654" s="50"/>
      <c r="AD654" s="601" t="str">
        <f>IF(
OR(
OR(AF656=$P$4,AF656=$P$5,AF656=$P$6,AF656=$P$7),AND(AG658="",AG659="",AG660="",AG661="",AG662="",AG663="",AG664="",AJ658="",AJ659="",AJ660="",AJ661="",AJ662="",AJ663="",AJ664="",AM658="",AM659="",AM660="",AM661="",AM662="",AM663="",AM664="",AK655="",AK656="")
),
"",
"A Set-Aside must be selected."
)</f>
        <v/>
      </c>
      <c r="AE654" s="602"/>
      <c r="AF654" s="602"/>
      <c r="AG654" s="602"/>
      <c r="AH654" s="602"/>
      <c r="AI654" s="602"/>
      <c r="AJ654" s="602"/>
      <c r="AK654" s="602"/>
      <c r="AL654" s="602"/>
      <c r="AM654" s="602"/>
      <c r="AN654" s="603"/>
      <c r="AO654" s="2"/>
    </row>
    <row r="655" spans="4:50" ht="15" customHeight="1" x14ac:dyDescent="0.3">
      <c r="D655" s="199"/>
      <c r="E655" s="9" t="s">
        <v>30</v>
      </c>
      <c r="F655" s="86">
        <f>F643+1</f>
        <v>52</v>
      </c>
      <c r="G655" s="9" t="s">
        <v>175</v>
      </c>
      <c r="H655" s="9"/>
      <c r="I655" s="9"/>
      <c r="J655" s="168" t="s">
        <v>111</v>
      </c>
      <c r="K655" s="148"/>
      <c r="N655" s="200"/>
      <c r="R655" s="596" t="s">
        <v>302</v>
      </c>
      <c r="S655" s="596" t="s">
        <v>303</v>
      </c>
      <c r="T655" s="596" t="s">
        <v>304</v>
      </c>
      <c r="U655" s="596" t="s">
        <v>305</v>
      </c>
      <c r="V655" s="596" t="s">
        <v>306</v>
      </c>
      <c r="W655" s="596" t="s">
        <v>307</v>
      </c>
      <c r="X655" s="596" t="s">
        <v>308</v>
      </c>
      <c r="AA655" s="50"/>
      <c r="AD655" s="199"/>
      <c r="AE655" s="9" t="s">
        <v>30</v>
      </c>
      <c r="AF655" s="86">
        <f>AF643+1</f>
        <v>52</v>
      </c>
      <c r="AG655" s="9" t="s">
        <v>175</v>
      </c>
      <c r="AH655" s="9"/>
      <c r="AI655" s="9"/>
      <c r="AJ655" s="168" t="s">
        <v>111</v>
      </c>
      <c r="AK655" s="382"/>
      <c r="AN655" s="200"/>
      <c r="AR655" s="596" t="s">
        <v>302</v>
      </c>
      <c r="AS655" s="596" t="s">
        <v>303</v>
      </c>
      <c r="AT655" s="596" t="s">
        <v>304</v>
      </c>
      <c r="AU655" s="596" t="s">
        <v>305</v>
      </c>
      <c r="AV655" s="596" t="s">
        <v>306</v>
      </c>
      <c r="AW655" s="596" t="s">
        <v>307</v>
      </c>
      <c r="AX655" s="596" t="s">
        <v>308</v>
      </c>
    </row>
    <row r="656" spans="4:50" ht="15" customHeight="1" x14ac:dyDescent="0.3">
      <c r="D656" s="604" t="s">
        <v>31</v>
      </c>
      <c r="E656" s="594"/>
      <c r="F656" s="151"/>
      <c r="G656" s="86" t="str">
        <f>IF(F656=$P$4,$Q$4,IF(F656=$P$5,$Q$5,IF(F656=$P$6,$Q$6,IF(F656=$P$7,Q$7,IF(F656=$P$8,"","")))))</f>
        <v/>
      </c>
      <c r="H656" s="201"/>
      <c r="I656" s="201"/>
      <c r="J656" s="168" t="s">
        <v>112</v>
      </c>
      <c r="K656" s="148"/>
      <c r="N656" s="200"/>
      <c r="R656" s="596"/>
      <c r="S656" s="596"/>
      <c r="T656" s="596"/>
      <c r="U656" s="596"/>
      <c r="V656" s="596"/>
      <c r="W656" s="596"/>
      <c r="X656" s="596"/>
      <c r="AA656" s="50"/>
      <c r="AD656" s="604" t="s">
        <v>31</v>
      </c>
      <c r="AE656" s="594"/>
      <c r="AF656" s="383"/>
      <c r="AG656" s="86" t="str">
        <f>IF(AF656=$P$4,$Q$4,IF(AF656=$P$5,$Q$5,IF(AF656=$P$6,$Q$6,IF(AF656=$P$7,AQ$7,IF(AF656=$P$8,"","")))))</f>
        <v/>
      </c>
      <c r="AH656" s="201"/>
      <c r="AI656" s="201"/>
      <c r="AJ656" s="168" t="s">
        <v>112</v>
      </c>
      <c r="AK656" s="382"/>
      <c r="AN656" s="200"/>
      <c r="AR656" s="596"/>
      <c r="AS656" s="596"/>
      <c r="AT656" s="596"/>
      <c r="AU656" s="596"/>
      <c r="AV656" s="596"/>
      <c r="AW656" s="596"/>
      <c r="AX656" s="596"/>
    </row>
    <row r="657" spans="4:50" ht="15" customHeight="1" x14ac:dyDescent="0.3">
      <c r="D657" s="244"/>
      <c r="E657" s="230" t="s">
        <v>52</v>
      </c>
      <c r="F657" s="9" t="s">
        <v>32</v>
      </c>
      <c r="G657" s="9" t="s">
        <v>33</v>
      </c>
      <c r="H657" s="9"/>
      <c r="I657" s="9"/>
      <c r="J657" s="9" t="s">
        <v>34</v>
      </c>
      <c r="K657" s="9"/>
      <c r="L657" s="9"/>
      <c r="M657" s="257" t="s">
        <v>35</v>
      </c>
      <c r="N657" s="202"/>
      <c r="O657" s="9"/>
      <c r="P657" s="198" t="s">
        <v>22</v>
      </c>
      <c r="Q657" s="198"/>
      <c r="R657" s="596"/>
      <c r="S657" s="596"/>
      <c r="T657" s="596"/>
      <c r="U657" s="596"/>
      <c r="V657" s="596"/>
      <c r="W657" s="596"/>
      <c r="X657" s="596"/>
      <c r="AA657" s="50"/>
      <c r="AD657" s="244"/>
      <c r="AE657" s="230" t="s">
        <v>52</v>
      </c>
      <c r="AF657" s="9" t="s">
        <v>32</v>
      </c>
      <c r="AG657" s="9" t="s">
        <v>33</v>
      </c>
      <c r="AH657" s="9"/>
      <c r="AI657" s="9"/>
      <c r="AJ657" s="9" t="s">
        <v>34</v>
      </c>
      <c r="AK657" s="9"/>
      <c r="AL657" s="9"/>
      <c r="AM657" s="257" t="s">
        <v>35</v>
      </c>
      <c r="AN657" s="202"/>
      <c r="AO657" s="9"/>
      <c r="AP657" s="198" t="s">
        <v>22</v>
      </c>
      <c r="AQ657" s="198"/>
      <c r="AR657" s="596"/>
      <c r="AS657" s="596"/>
      <c r="AT657" s="596"/>
      <c r="AU657" s="596"/>
      <c r="AV657" s="596"/>
      <c r="AW657" s="596"/>
      <c r="AX657" s="596"/>
    </row>
    <row r="658" spans="4:50" x14ac:dyDescent="0.3">
      <c r="D658" s="244"/>
      <c r="E658" s="355" t="str">
        <f>IF(OR(M658="",M658=0,J658="",G658=""),"",
(IF(AND(F656=$P$4,M658&lt;=$R$4),$V$4,0)+IF(AND(F656=$P$5,M658&lt;=$R$5),$V$5,0)+IF(AND(F656=$P$6,M658&lt;=$R$6),$V$6,0)+IF(AND(F656=$P$7,M658&lt;=$R$7),$V$7,0))
)</f>
        <v/>
      </c>
      <c r="F658" s="153" t="s">
        <v>302</v>
      </c>
      <c r="G658" s="616"/>
      <c r="H658" s="617"/>
      <c r="I658" s="618"/>
      <c r="J658" s="616"/>
      <c r="K658" s="617"/>
      <c r="L658" s="618"/>
      <c r="M658" s="255"/>
      <c r="N658" s="256"/>
      <c r="O658" s="388"/>
      <c r="P658" s="185">
        <f t="shared" ref="P658" si="815">IF(F656="",0,1)</f>
        <v>0</v>
      </c>
      <c r="R658" s="185" t="str">
        <f t="shared" ref="R658" si="816">E658</f>
        <v/>
      </c>
      <c r="S658" s="185" t="str">
        <f t="shared" ref="S658" si="817">E659</f>
        <v/>
      </c>
      <c r="T658" s="185" t="str">
        <f t="shared" ref="T658" si="818">E660</f>
        <v/>
      </c>
      <c r="U658" s="185" t="str">
        <f t="shared" ref="U658" si="819">E661</f>
        <v/>
      </c>
      <c r="V658" s="185" t="str">
        <f t="shared" ref="V658" si="820">E662</f>
        <v/>
      </c>
      <c r="W658" s="185" t="str">
        <f t="shared" ref="W658" si="821">E663</f>
        <v/>
      </c>
      <c r="X658" s="185" t="str">
        <f t="shared" ref="X658" si="822">E664</f>
        <v/>
      </c>
      <c r="AA658" s="50"/>
      <c r="AD658" s="244"/>
      <c r="AE658" s="355" t="str">
        <f>IF(OR(AM658="",AM658=0,AJ658="",AG658=""),"",
(IF(AND(AF656=$P$4,AM658&lt;=$R$4),$V$4,0)+IF(AND(AF656=$P$5,AM658&lt;=$R$5),$V$5,0)+IF(AND(AF656=$P$6,AM658&lt;=$R$6),$V$6,0)+IF(AND(AF656=$P$7,AM658&lt;=$R$7),$V$7,0))
)</f>
        <v/>
      </c>
      <c r="AF658" s="153" t="s">
        <v>302</v>
      </c>
      <c r="AG658" s="598"/>
      <c r="AH658" s="599"/>
      <c r="AI658" s="600"/>
      <c r="AJ658" s="598"/>
      <c r="AK658" s="599"/>
      <c r="AL658" s="600"/>
      <c r="AM658" s="384"/>
      <c r="AN658" s="256"/>
      <c r="AO658" s="388"/>
      <c r="AP658" s="185">
        <f t="shared" ref="AP658" si="823">IF(AF656="",0,1)</f>
        <v>0</v>
      </c>
      <c r="AR658" s="185" t="str">
        <f t="shared" ref="AR658" si="824">AE658</f>
        <v/>
      </c>
      <c r="AS658" s="185" t="str">
        <f t="shared" ref="AS658" si="825">AE659</f>
        <v/>
      </c>
      <c r="AT658" s="185" t="str">
        <f t="shared" ref="AT658" si="826">AE660</f>
        <v/>
      </c>
      <c r="AU658" s="185" t="str">
        <f t="shared" ref="AU658" si="827">AE661</f>
        <v/>
      </c>
      <c r="AV658" s="185" t="str">
        <f t="shared" ref="AV658" si="828">AE662</f>
        <v/>
      </c>
      <c r="AW658" s="185" t="str">
        <f t="shared" ref="AW658" si="829">AE663</f>
        <v/>
      </c>
      <c r="AX658" s="185" t="str">
        <f t="shared" ref="AX658" si="830">AE664</f>
        <v/>
      </c>
    </row>
    <row r="659" spans="4:50" x14ac:dyDescent="0.3">
      <c r="D659" s="244"/>
      <c r="E659" s="341" t="str">
        <f>IF(OR(M659="",M659=0,J659="",G659=""),"",
(IF(AND(F656=$P$4,M659&lt;=$R$4),$V$4,0)+IF(AND(F656=$P$5,M659&lt;=$R$5),$V$5,0)+IF(AND(F656=$P$6,M659&lt;=$R$6),$V$6,0)+IF(AND(F656=$P$7,M659&lt;=$R$7),$V$7,0))
)</f>
        <v/>
      </c>
      <c r="F659" s="153" t="s">
        <v>303</v>
      </c>
      <c r="G659" s="616"/>
      <c r="H659" s="617"/>
      <c r="I659" s="618"/>
      <c r="J659" s="616"/>
      <c r="K659" s="617"/>
      <c r="L659" s="618"/>
      <c r="M659" s="255"/>
      <c r="N659" s="256"/>
      <c r="O659" s="388"/>
      <c r="AA659" s="50"/>
      <c r="AD659" s="244"/>
      <c r="AE659" s="341" t="str">
        <f>IF(OR(AM659="",AM659=0,AJ659="",AG659=""),"",
(IF(AND(AF656=$P$4,AM659&lt;=$R$4),$V$4,0)+IF(AND(AF656=$P$5,AM659&lt;=$R$5),$V$5,0)+IF(AND(AF656=$P$6,AM659&lt;=$R$6),$V$6,0)+IF(AND(AF656=$P$7,AM659&lt;=$R$7),$V$7,0))
)</f>
        <v/>
      </c>
      <c r="AF659" s="153" t="s">
        <v>303</v>
      </c>
      <c r="AG659" s="598"/>
      <c r="AH659" s="599"/>
      <c r="AI659" s="600"/>
      <c r="AJ659" s="598"/>
      <c r="AK659" s="599"/>
      <c r="AL659" s="600"/>
      <c r="AM659" s="384"/>
      <c r="AN659" s="256"/>
      <c r="AO659" s="388"/>
    </row>
    <row r="660" spans="4:50" x14ac:dyDescent="0.3">
      <c r="D660" s="244"/>
      <c r="E660" s="341" t="str">
        <f>IF(OR(M660="",M660=0,J660="",G660=""),"",
(IF(AND(F656=$P$4,M660&lt;=$R$4),$V$4,0)+IF(AND(F656=$P$5,M660&lt;=$R$5),$V$5,0)+IF(AND(F656=$P$6,M660&lt;=$R$6),$V$6,0)+IF(AND(F656=$P$7,M660&lt;=$R$7),$V$7,0))
)</f>
        <v/>
      </c>
      <c r="F660" s="153" t="s">
        <v>304</v>
      </c>
      <c r="G660" s="616"/>
      <c r="H660" s="617"/>
      <c r="I660" s="618"/>
      <c r="J660" s="616"/>
      <c r="K660" s="617"/>
      <c r="L660" s="618"/>
      <c r="M660" s="255"/>
      <c r="N660" s="256"/>
      <c r="O660" s="388"/>
      <c r="AA660" s="50"/>
      <c r="AD660" s="244"/>
      <c r="AE660" s="341" t="str">
        <f>IF(OR(AM660="",AM660=0,AJ660="",AG660=""),"",
(IF(AND(AF656=$P$4,AM660&lt;=$R$4),$V$4,0)+IF(AND(AF656=$P$5,AM660&lt;=$R$5),$V$5,0)+IF(AND(AF656=$P$6,AM660&lt;=$R$6),$V$6,0)+IF(AND(AF656=$P$7,AM660&lt;=$R$7),$V$7,0))
)</f>
        <v/>
      </c>
      <c r="AF660" s="153" t="s">
        <v>304</v>
      </c>
      <c r="AG660" s="598"/>
      <c r="AH660" s="599"/>
      <c r="AI660" s="600"/>
      <c r="AJ660" s="598"/>
      <c r="AK660" s="599"/>
      <c r="AL660" s="600"/>
      <c r="AM660" s="384"/>
      <c r="AN660" s="256"/>
      <c r="AO660" s="388"/>
    </row>
    <row r="661" spans="4:50" x14ac:dyDescent="0.3">
      <c r="D661" s="244"/>
      <c r="E661" s="341" t="str">
        <f>IF(OR(M661="",M661=0,J661="",G661=""),"",
(IF(AND(F656=$P$4,M661&lt;=$R$4),$V$4,0)+IF(AND(F656=$P$5,M661&lt;=$R$5),$V$5,0)+IF(AND(F656=$P$6,M661&lt;=$R$6),$V$6,0)+IF(AND(F656=$P$7,M661&lt;=$R$7),$V$7,0))
)</f>
        <v/>
      </c>
      <c r="F661" s="153" t="s">
        <v>305</v>
      </c>
      <c r="G661" s="616"/>
      <c r="H661" s="617"/>
      <c r="I661" s="618"/>
      <c r="J661" s="616"/>
      <c r="K661" s="617"/>
      <c r="L661" s="618"/>
      <c r="M661" s="255"/>
      <c r="N661" s="256"/>
      <c r="O661" s="388"/>
      <c r="AA661" s="50"/>
      <c r="AD661" s="244"/>
      <c r="AE661" s="341" t="str">
        <f>IF(OR(AM661="",AM661=0,AJ661="",AG661=""),"",
(IF(AND(AF656=$P$4,AM661&lt;=$R$4),$V$4,0)+IF(AND(AF656=$P$5,AM661&lt;=$R$5),$V$5,0)+IF(AND(AF656=$P$6,AM661&lt;=$R$6),$V$6,0)+IF(AND(AF656=$P$7,AM661&lt;=$R$7),$V$7,0))
)</f>
        <v/>
      </c>
      <c r="AF661" s="153" t="s">
        <v>305</v>
      </c>
      <c r="AG661" s="598"/>
      <c r="AH661" s="599"/>
      <c r="AI661" s="600"/>
      <c r="AJ661" s="598"/>
      <c r="AK661" s="599"/>
      <c r="AL661" s="600"/>
      <c r="AM661" s="384"/>
      <c r="AN661" s="256"/>
      <c r="AO661" s="388"/>
    </row>
    <row r="662" spans="4:50" x14ac:dyDescent="0.3">
      <c r="D662" s="244"/>
      <c r="E662" s="341" t="str">
        <f>IF(OR(M662="",M662=0,J662="",G662=""),"",
(IF(AND(F656=$P$4,M662&lt;=$R$4),$V$4,0)+IF(AND(F656=$P$5,M662&lt;=$R$5),$V$5,0)+IF(AND(F656=$P$6,M662&lt;=$R$6),$V$6,0)+IF(AND(F656=$P$7,M662&lt;=$R$7),$V$7,0))
)</f>
        <v/>
      </c>
      <c r="F662" s="153" t="s">
        <v>306</v>
      </c>
      <c r="G662" s="616"/>
      <c r="H662" s="617"/>
      <c r="I662" s="618"/>
      <c r="J662" s="616"/>
      <c r="K662" s="617"/>
      <c r="L662" s="618"/>
      <c r="M662" s="255"/>
      <c r="N662" s="256"/>
      <c r="O662" s="388"/>
      <c r="AA662" s="50"/>
      <c r="AD662" s="244"/>
      <c r="AE662" s="341" t="str">
        <f>IF(OR(AM662="",AM662=0,AJ662="",AG662=""),"",
(IF(AND(AF656=$P$4,AM662&lt;=$R$4),$V$4,0)+IF(AND(AF656=$P$5,AM662&lt;=$R$5),$V$5,0)+IF(AND(AF656=$P$6,AM662&lt;=$R$6),$V$6,0)+IF(AND(AF656=$P$7,AM662&lt;=$R$7),$V$7,0))
)</f>
        <v/>
      </c>
      <c r="AF662" s="153" t="s">
        <v>306</v>
      </c>
      <c r="AG662" s="598"/>
      <c r="AH662" s="599"/>
      <c r="AI662" s="600"/>
      <c r="AJ662" s="598"/>
      <c r="AK662" s="599"/>
      <c r="AL662" s="600"/>
      <c r="AM662" s="384"/>
      <c r="AN662" s="256"/>
      <c r="AO662" s="388"/>
    </row>
    <row r="663" spans="4:50" ht="15" customHeight="1" x14ac:dyDescent="0.3">
      <c r="D663" s="244"/>
      <c r="E663" s="341" t="str">
        <f>IF(OR(M663="",M663=0,J663="",G663=""),"",
(IF(AND(F656=$P$4,M663&lt;=$R$4),$V$4,0)+IF(AND(F656=$P$5,M663&lt;=$R$5),$V$5,0)+IF(AND(F656=$P$6,M663&lt;=$R$6),$V$6,0)+IF(AND(F656=$P$7,M663&lt;=$R$7),$V$7,0))
)</f>
        <v/>
      </c>
      <c r="F663" s="153" t="s">
        <v>307</v>
      </c>
      <c r="G663" s="616"/>
      <c r="H663" s="617"/>
      <c r="I663" s="618"/>
      <c r="J663" s="616"/>
      <c r="K663" s="617"/>
      <c r="L663" s="618"/>
      <c r="M663" s="255"/>
      <c r="N663" s="256"/>
      <c r="O663" s="388"/>
      <c r="AA663" s="50"/>
      <c r="AD663" s="244"/>
      <c r="AE663" s="341" t="str">
        <f>IF(OR(AM663="",AM663=0,AJ663="",AG663=""),"",
(IF(AND(AF656=$P$4,AM663&lt;=$R$4),$V$4,0)+IF(AND(AF656=$P$5,AM663&lt;=$R$5),$V$5,0)+IF(AND(AF656=$P$6,AM663&lt;=$R$6),$V$6,0)+IF(AND(AF656=$P$7,AM663&lt;=$R$7),$V$7,0))
)</f>
        <v/>
      </c>
      <c r="AF663" s="153" t="s">
        <v>307</v>
      </c>
      <c r="AG663" s="598"/>
      <c r="AH663" s="599"/>
      <c r="AI663" s="600"/>
      <c r="AJ663" s="598"/>
      <c r="AK663" s="599"/>
      <c r="AL663" s="600"/>
      <c r="AM663" s="384"/>
      <c r="AN663" s="256"/>
      <c r="AO663" s="388"/>
    </row>
    <row r="664" spans="4:50" ht="15" customHeight="1" x14ac:dyDescent="0.3">
      <c r="D664" s="244"/>
      <c r="E664" s="341" t="str">
        <f>IF(OR(M664="",M664=0,J664="",G664=""),"",
(IF(AND(F656=$P$4,M664&lt;=$R$4),$V$4,0)+IF(AND(F656=$P$5,M664&lt;=$R$5),$V$5,0)+IF(AND(F656=$P$6,M664&lt;=$R$6),$V$6,0)+IF(AND(F656=$P$7,M664&lt;=$R$7),$V$7,0))
)</f>
        <v/>
      </c>
      <c r="F664" s="153" t="s">
        <v>308</v>
      </c>
      <c r="G664" s="616"/>
      <c r="H664" s="617"/>
      <c r="I664" s="618"/>
      <c r="J664" s="616"/>
      <c r="K664" s="617"/>
      <c r="L664" s="618"/>
      <c r="M664" s="255"/>
      <c r="N664" s="256"/>
      <c r="O664" s="388"/>
      <c r="AA664" s="50"/>
      <c r="AD664" s="244"/>
      <c r="AE664" s="341" t="str">
        <f>IF(OR(AM664="",AM664=0,AJ664="",AG664=""),"",
(IF(AND(AF656=$P$4,AM664&lt;=$R$4),$V$4,0)+IF(AND(AF656=$P$5,AM664&lt;=$R$5),$V$5,0)+IF(AND(AF656=$P$6,AM664&lt;=$R$6),$V$6,0)+IF(AND(AF656=$P$7,AM664&lt;=$R$7),$V$7,0))
)</f>
        <v/>
      </c>
      <c r="AF664" s="153" t="s">
        <v>308</v>
      </c>
      <c r="AG664" s="598"/>
      <c r="AH664" s="599"/>
      <c r="AI664" s="600"/>
      <c r="AJ664" s="598"/>
      <c r="AK664" s="599"/>
      <c r="AL664" s="600"/>
      <c r="AM664" s="384"/>
      <c r="AN664" s="256"/>
      <c r="AO664" s="388"/>
    </row>
    <row r="665" spans="4:50" ht="15" customHeight="1" thickBot="1" x14ac:dyDescent="0.35">
      <c r="D665" s="203"/>
      <c r="E665" s="3"/>
      <c r="F665" s="3"/>
      <c r="G665" s="3"/>
      <c r="H665" s="3"/>
      <c r="I665" s="3"/>
      <c r="J665" s="3"/>
      <c r="K665" s="3"/>
      <c r="L665" s="3"/>
      <c r="M665" s="3"/>
      <c r="N665" s="204"/>
      <c r="P665" s="2"/>
      <c r="AA665" s="50"/>
      <c r="AD665" s="203"/>
      <c r="AE665" s="3"/>
      <c r="AF665" s="3"/>
      <c r="AG665" s="3"/>
      <c r="AH665" s="3"/>
      <c r="AI665" s="3"/>
      <c r="AJ665" s="3"/>
      <c r="AK665" s="3"/>
      <c r="AL665" s="3"/>
      <c r="AM665" s="3"/>
      <c r="AN665" s="204"/>
      <c r="AP665" s="2"/>
    </row>
    <row r="666" spans="4:50" ht="15" customHeight="1" x14ac:dyDescent="0.3">
      <c r="D666" s="601" t="str">
        <f>IF(
OR(
OR(F668=$P$4,F668=$P$5,F668=$P$6,F668=$P$7),AND(G670="",G671="",G672="",G673="",G674="",G675="",G676="",J670="",J671="",J672="",J673="",J674="",J675="",J676="",M670="",M671="",M672="",M673="",M674="",M675="",M676="",K667="",K668="")
),
"",
"A Set-Aside must be selected."
)</f>
        <v/>
      </c>
      <c r="E666" s="602"/>
      <c r="F666" s="602"/>
      <c r="G666" s="602"/>
      <c r="H666" s="602"/>
      <c r="I666" s="602"/>
      <c r="J666" s="602"/>
      <c r="K666" s="602"/>
      <c r="L666" s="602"/>
      <c r="M666" s="602"/>
      <c r="N666" s="603"/>
      <c r="O666" s="2"/>
      <c r="AA666" s="50"/>
      <c r="AD666" s="601" t="str">
        <f>IF(
OR(
OR(AF668=$P$4,AF668=$P$5,AF668=$P$6,AF668=$P$7),AND(AG670="",AG671="",AG672="",AG673="",AG674="",AG675="",AG676="",AJ670="",AJ671="",AJ672="",AJ673="",AJ674="",AJ675="",AJ676="",AM670="",AM671="",AM672="",AM673="",AM674="",AM675="",AM676="",AK667="",AK668="")
),
"",
"A Set-Aside must be selected."
)</f>
        <v/>
      </c>
      <c r="AE666" s="602"/>
      <c r="AF666" s="602"/>
      <c r="AG666" s="602"/>
      <c r="AH666" s="602"/>
      <c r="AI666" s="602"/>
      <c r="AJ666" s="602"/>
      <c r="AK666" s="602"/>
      <c r="AL666" s="602"/>
      <c r="AM666" s="602"/>
      <c r="AN666" s="603"/>
      <c r="AO666" s="2"/>
    </row>
    <row r="667" spans="4:50" ht="15" customHeight="1" x14ac:dyDescent="0.3">
      <c r="D667" s="199"/>
      <c r="E667" s="9" t="s">
        <v>30</v>
      </c>
      <c r="F667" s="86">
        <f>F655+1</f>
        <v>53</v>
      </c>
      <c r="G667" s="9" t="s">
        <v>175</v>
      </c>
      <c r="H667" s="9"/>
      <c r="I667" s="9"/>
      <c r="J667" s="168" t="s">
        <v>111</v>
      </c>
      <c r="K667" s="148"/>
      <c r="N667" s="200"/>
      <c r="R667" s="596" t="s">
        <v>302</v>
      </c>
      <c r="S667" s="596" t="s">
        <v>303</v>
      </c>
      <c r="T667" s="596" t="s">
        <v>304</v>
      </c>
      <c r="U667" s="596" t="s">
        <v>305</v>
      </c>
      <c r="V667" s="596" t="s">
        <v>306</v>
      </c>
      <c r="W667" s="596" t="s">
        <v>307</v>
      </c>
      <c r="X667" s="596" t="s">
        <v>308</v>
      </c>
      <c r="AA667" s="50"/>
      <c r="AD667" s="199"/>
      <c r="AE667" s="9" t="s">
        <v>30</v>
      </c>
      <c r="AF667" s="86">
        <f>AF655+1</f>
        <v>53</v>
      </c>
      <c r="AG667" s="9" t="s">
        <v>175</v>
      </c>
      <c r="AH667" s="9"/>
      <c r="AI667" s="9"/>
      <c r="AJ667" s="168" t="s">
        <v>111</v>
      </c>
      <c r="AK667" s="382"/>
      <c r="AN667" s="200"/>
      <c r="AR667" s="596" t="s">
        <v>302</v>
      </c>
      <c r="AS667" s="596" t="s">
        <v>303</v>
      </c>
      <c r="AT667" s="596" t="s">
        <v>304</v>
      </c>
      <c r="AU667" s="596" t="s">
        <v>305</v>
      </c>
      <c r="AV667" s="596" t="s">
        <v>306</v>
      </c>
      <c r="AW667" s="596" t="s">
        <v>307</v>
      </c>
      <c r="AX667" s="596" t="s">
        <v>308</v>
      </c>
    </row>
    <row r="668" spans="4:50" x14ac:dyDescent="0.3">
      <c r="D668" s="604" t="s">
        <v>31</v>
      </c>
      <c r="E668" s="594"/>
      <c r="F668" s="151"/>
      <c r="G668" s="86" t="str">
        <f>IF(F668=$P$4,$Q$4,IF(F668=$P$5,$Q$5,IF(F668=$P$6,$Q$6,IF(F668=$P$7,Q$7,IF(F668=$P$8,"","")))))</f>
        <v/>
      </c>
      <c r="H668" s="201"/>
      <c r="I668" s="201"/>
      <c r="J668" s="168" t="s">
        <v>112</v>
      </c>
      <c r="K668" s="148"/>
      <c r="N668" s="200"/>
      <c r="R668" s="596"/>
      <c r="S668" s="596"/>
      <c r="T668" s="596"/>
      <c r="U668" s="596"/>
      <c r="V668" s="596"/>
      <c r="W668" s="596"/>
      <c r="X668" s="596"/>
      <c r="AA668" s="50"/>
      <c r="AD668" s="604" t="s">
        <v>31</v>
      </c>
      <c r="AE668" s="594"/>
      <c r="AF668" s="383"/>
      <c r="AG668" s="86" t="str">
        <f>IF(AF668=$P$4,$Q$4,IF(AF668=$P$5,$Q$5,IF(AF668=$P$6,$Q$6,IF(AF668=$P$7,AQ$7,IF(AF668=$P$8,"","")))))</f>
        <v/>
      </c>
      <c r="AH668" s="201"/>
      <c r="AI668" s="201"/>
      <c r="AJ668" s="168" t="s">
        <v>112</v>
      </c>
      <c r="AK668" s="382"/>
      <c r="AN668" s="200"/>
      <c r="AR668" s="596"/>
      <c r="AS668" s="596"/>
      <c r="AT668" s="596"/>
      <c r="AU668" s="596"/>
      <c r="AV668" s="596"/>
      <c r="AW668" s="596"/>
      <c r="AX668" s="596"/>
    </row>
    <row r="669" spans="4:50" x14ac:dyDescent="0.3">
      <c r="D669" s="244"/>
      <c r="E669" s="230" t="s">
        <v>52</v>
      </c>
      <c r="F669" s="9" t="s">
        <v>32</v>
      </c>
      <c r="G669" s="9" t="s">
        <v>33</v>
      </c>
      <c r="H669" s="9"/>
      <c r="I669" s="9"/>
      <c r="J669" s="9" t="s">
        <v>34</v>
      </c>
      <c r="K669" s="9"/>
      <c r="L669" s="9"/>
      <c r="M669" s="257" t="s">
        <v>35</v>
      </c>
      <c r="N669" s="202"/>
      <c r="O669" s="9"/>
      <c r="P669" s="198" t="s">
        <v>22</v>
      </c>
      <c r="Q669" s="198"/>
      <c r="R669" s="596"/>
      <c r="S669" s="596"/>
      <c r="T669" s="596"/>
      <c r="U669" s="596"/>
      <c r="V669" s="596"/>
      <c r="W669" s="596"/>
      <c r="X669" s="596"/>
      <c r="AA669" s="50"/>
      <c r="AD669" s="244"/>
      <c r="AE669" s="230" t="s">
        <v>52</v>
      </c>
      <c r="AF669" s="9" t="s">
        <v>32</v>
      </c>
      <c r="AG669" s="9" t="s">
        <v>33</v>
      </c>
      <c r="AH669" s="9"/>
      <c r="AI669" s="9"/>
      <c r="AJ669" s="9" t="s">
        <v>34</v>
      </c>
      <c r="AK669" s="9"/>
      <c r="AL669" s="9"/>
      <c r="AM669" s="257" t="s">
        <v>35</v>
      </c>
      <c r="AN669" s="202"/>
      <c r="AO669" s="9"/>
      <c r="AP669" s="198" t="s">
        <v>22</v>
      </c>
      <c r="AQ669" s="198"/>
      <c r="AR669" s="596"/>
      <c r="AS669" s="596"/>
      <c r="AT669" s="596"/>
      <c r="AU669" s="596"/>
      <c r="AV669" s="596"/>
      <c r="AW669" s="596"/>
      <c r="AX669" s="596"/>
    </row>
    <row r="670" spans="4:50" x14ac:dyDescent="0.3">
      <c r="D670" s="244"/>
      <c r="E670" s="355" t="str">
        <f>IF(OR(M670="",M670=0,J670="",G670=""),"",
(IF(AND(F668=$P$4,M670&lt;=$R$4),$V$4,0)+IF(AND(F668=$P$5,M670&lt;=$R$5),$V$5,0)+IF(AND(F668=$P$6,M670&lt;=$R$6),$V$6,0)+IF(AND(F668=$P$7,M670&lt;=$R$7),$V$7,0))
)</f>
        <v/>
      </c>
      <c r="F670" s="153" t="s">
        <v>302</v>
      </c>
      <c r="G670" s="616"/>
      <c r="H670" s="617"/>
      <c r="I670" s="618"/>
      <c r="J670" s="616"/>
      <c r="K670" s="617"/>
      <c r="L670" s="618"/>
      <c r="M670" s="255"/>
      <c r="N670" s="256"/>
      <c r="O670" s="388"/>
      <c r="P670" s="185">
        <f t="shared" ref="P670" si="831">IF(F668="",0,1)</f>
        <v>0</v>
      </c>
      <c r="R670" s="185" t="str">
        <f t="shared" ref="R670" si="832">E670</f>
        <v/>
      </c>
      <c r="S670" s="185" t="str">
        <f t="shared" ref="S670" si="833">E671</f>
        <v/>
      </c>
      <c r="T670" s="185" t="str">
        <f t="shared" ref="T670" si="834">E672</f>
        <v/>
      </c>
      <c r="U670" s="185" t="str">
        <f t="shared" ref="U670" si="835">E673</f>
        <v/>
      </c>
      <c r="V670" s="185" t="str">
        <f t="shared" ref="V670" si="836">E674</f>
        <v/>
      </c>
      <c r="W670" s="185" t="str">
        <f t="shared" ref="W670" si="837">E675</f>
        <v/>
      </c>
      <c r="X670" s="185" t="str">
        <f t="shared" ref="X670" si="838">E676</f>
        <v/>
      </c>
      <c r="AA670" s="50"/>
      <c r="AD670" s="244"/>
      <c r="AE670" s="355" t="str">
        <f>IF(OR(AM670="",AM670=0,AJ670="",AG670=""),"",
(IF(AND(AF668=$P$4,AM670&lt;=$R$4),$V$4,0)+IF(AND(AF668=$P$5,AM670&lt;=$R$5),$V$5,0)+IF(AND(AF668=$P$6,AM670&lt;=$R$6),$V$6,0)+IF(AND(AF668=$P$7,AM670&lt;=$R$7),$V$7,0))
)</f>
        <v/>
      </c>
      <c r="AF670" s="153" t="s">
        <v>302</v>
      </c>
      <c r="AG670" s="598"/>
      <c r="AH670" s="599"/>
      <c r="AI670" s="600"/>
      <c r="AJ670" s="598"/>
      <c r="AK670" s="599"/>
      <c r="AL670" s="600"/>
      <c r="AM670" s="384"/>
      <c r="AN670" s="256"/>
      <c r="AO670" s="388"/>
      <c r="AP670" s="185">
        <f t="shared" ref="AP670" si="839">IF(AF668="",0,1)</f>
        <v>0</v>
      </c>
      <c r="AR670" s="185" t="str">
        <f t="shared" ref="AR670" si="840">AE670</f>
        <v/>
      </c>
      <c r="AS670" s="185" t="str">
        <f t="shared" ref="AS670" si="841">AE671</f>
        <v/>
      </c>
      <c r="AT670" s="185" t="str">
        <f t="shared" ref="AT670" si="842">AE672</f>
        <v/>
      </c>
      <c r="AU670" s="185" t="str">
        <f t="shared" ref="AU670" si="843">AE673</f>
        <v/>
      </c>
      <c r="AV670" s="185" t="str">
        <f t="shared" ref="AV670" si="844">AE674</f>
        <v/>
      </c>
      <c r="AW670" s="185" t="str">
        <f t="shared" ref="AW670" si="845">AE675</f>
        <v/>
      </c>
      <c r="AX670" s="185" t="str">
        <f t="shared" ref="AX670" si="846">AE676</f>
        <v/>
      </c>
    </row>
    <row r="671" spans="4:50" x14ac:dyDescent="0.3">
      <c r="D671" s="244"/>
      <c r="E671" s="341" t="str">
        <f>IF(OR(M671="",M671=0,J671="",G671=""),"",
(IF(AND(F668=$P$4,M671&lt;=$R$4),$V$4,0)+IF(AND(F668=$P$5,M671&lt;=$R$5),$V$5,0)+IF(AND(F668=$P$6,M671&lt;=$R$6),$V$6,0)+IF(AND(F668=$P$7,M671&lt;=$R$7),$V$7,0))
)</f>
        <v/>
      </c>
      <c r="F671" s="153" t="s">
        <v>303</v>
      </c>
      <c r="G671" s="616"/>
      <c r="H671" s="617"/>
      <c r="I671" s="618"/>
      <c r="J671" s="616"/>
      <c r="K671" s="617"/>
      <c r="L671" s="618"/>
      <c r="M671" s="255"/>
      <c r="N671" s="256"/>
      <c r="O671" s="388"/>
      <c r="AA671" s="50"/>
      <c r="AD671" s="244"/>
      <c r="AE671" s="341" t="str">
        <f>IF(OR(AM671="",AM671=0,AJ671="",AG671=""),"",
(IF(AND(AF668=$P$4,AM671&lt;=$R$4),$V$4,0)+IF(AND(AF668=$P$5,AM671&lt;=$R$5),$V$5,0)+IF(AND(AF668=$P$6,AM671&lt;=$R$6),$V$6,0)+IF(AND(AF668=$P$7,AM671&lt;=$R$7),$V$7,0))
)</f>
        <v/>
      </c>
      <c r="AF671" s="153" t="s">
        <v>303</v>
      </c>
      <c r="AG671" s="598"/>
      <c r="AH671" s="599"/>
      <c r="AI671" s="600"/>
      <c r="AJ671" s="598"/>
      <c r="AK671" s="599"/>
      <c r="AL671" s="600"/>
      <c r="AM671" s="384"/>
      <c r="AN671" s="256"/>
      <c r="AO671" s="388"/>
    </row>
    <row r="672" spans="4:50" x14ac:dyDescent="0.3">
      <c r="D672" s="244"/>
      <c r="E672" s="341" t="str">
        <f>IF(OR(M672="",M672=0,J672="",G672=""),"",
(IF(AND(F668=$P$4,M672&lt;=$R$4),$V$4,0)+IF(AND(F668=$P$5,M672&lt;=$R$5),$V$5,0)+IF(AND(F668=$P$6,M672&lt;=$R$6),$V$6,0)+IF(AND(F668=$P$7,M672&lt;=$R$7),$V$7,0))
)</f>
        <v/>
      </c>
      <c r="F672" s="153" t="s">
        <v>304</v>
      </c>
      <c r="G672" s="616"/>
      <c r="H672" s="617"/>
      <c r="I672" s="618"/>
      <c r="J672" s="616"/>
      <c r="K672" s="617"/>
      <c r="L672" s="618"/>
      <c r="M672" s="255"/>
      <c r="N672" s="256"/>
      <c r="O672" s="388"/>
      <c r="AA672" s="50"/>
      <c r="AD672" s="244"/>
      <c r="AE672" s="341" t="str">
        <f>IF(OR(AM672="",AM672=0,AJ672="",AG672=""),"",
(IF(AND(AF668=$P$4,AM672&lt;=$R$4),$V$4,0)+IF(AND(AF668=$P$5,AM672&lt;=$R$5),$V$5,0)+IF(AND(AF668=$P$6,AM672&lt;=$R$6),$V$6,0)+IF(AND(AF668=$P$7,AM672&lt;=$R$7),$V$7,0))
)</f>
        <v/>
      </c>
      <c r="AF672" s="153" t="s">
        <v>304</v>
      </c>
      <c r="AG672" s="598"/>
      <c r="AH672" s="599"/>
      <c r="AI672" s="600"/>
      <c r="AJ672" s="598"/>
      <c r="AK672" s="599"/>
      <c r="AL672" s="600"/>
      <c r="AM672" s="384"/>
      <c r="AN672" s="256"/>
      <c r="AO672" s="388"/>
    </row>
    <row r="673" spans="4:50" ht="15" customHeight="1" x14ac:dyDescent="0.3">
      <c r="D673" s="244"/>
      <c r="E673" s="341" t="str">
        <f>IF(OR(M673="",M673=0,J673="",G673=""),"",
(IF(AND(F668=$P$4,M673&lt;=$R$4),$V$4,0)+IF(AND(F668=$P$5,M673&lt;=$R$5),$V$5,0)+IF(AND(F668=$P$6,M673&lt;=$R$6),$V$6,0)+IF(AND(F668=$P$7,M673&lt;=$R$7),$V$7,0))
)</f>
        <v/>
      </c>
      <c r="F673" s="153" t="s">
        <v>305</v>
      </c>
      <c r="G673" s="616"/>
      <c r="H673" s="617"/>
      <c r="I673" s="618"/>
      <c r="J673" s="616"/>
      <c r="K673" s="617"/>
      <c r="L673" s="618"/>
      <c r="M673" s="255"/>
      <c r="N673" s="256"/>
      <c r="O673" s="388"/>
      <c r="AA673" s="50"/>
      <c r="AD673" s="244"/>
      <c r="AE673" s="341" t="str">
        <f>IF(OR(AM673="",AM673=0,AJ673="",AG673=""),"",
(IF(AND(AF668=$P$4,AM673&lt;=$R$4),$V$4,0)+IF(AND(AF668=$P$5,AM673&lt;=$R$5),$V$5,0)+IF(AND(AF668=$P$6,AM673&lt;=$R$6),$V$6,0)+IF(AND(AF668=$P$7,AM673&lt;=$R$7),$V$7,0))
)</f>
        <v/>
      </c>
      <c r="AF673" s="153" t="s">
        <v>305</v>
      </c>
      <c r="AG673" s="598"/>
      <c r="AH673" s="599"/>
      <c r="AI673" s="600"/>
      <c r="AJ673" s="598"/>
      <c r="AK673" s="599"/>
      <c r="AL673" s="600"/>
      <c r="AM673" s="384"/>
      <c r="AN673" s="256"/>
      <c r="AO673" s="388"/>
    </row>
    <row r="674" spans="4:50" ht="15" customHeight="1" x14ac:dyDescent="0.3">
      <c r="D674" s="244"/>
      <c r="E674" s="341" t="str">
        <f>IF(OR(M674="",M674=0,J674="",G674=""),"",
(IF(AND(F668=$P$4,M674&lt;=$R$4),$V$4,0)+IF(AND(F668=$P$5,M674&lt;=$R$5),$V$5,0)+IF(AND(F668=$P$6,M674&lt;=$R$6),$V$6,0)+IF(AND(F668=$P$7,M674&lt;=$R$7),$V$7,0))
)</f>
        <v/>
      </c>
      <c r="F674" s="153" t="s">
        <v>306</v>
      </c>
      <c r="G674" s="616"/>
      <c r="H674" s="617"/>
      <c r="I674" s="618"/>
      <c r="J674" s="616"/>
      <c r="K674" s="617"/>
      <c r="L674" s="618"/>
      <c r="M674" s="255"/>
      <c r="N674" s="256"/>
      <c r="O674" s="388"/>
      <c r="AA674" s="50"/>
      <c r="AD674" s="244"/>
      <c r="AE674" s="341" t="str">
        <f>IF(OR(AM674="",AM674=0,AJ674="",AG674=""),"",
(IF(AND(AF668=$P$4,AM674&lt;=$R$4),$V$4,0)+IF(AND(AF668=$P$5,AM674&lt;=$R$5),$V$5,0)+IF(AND(AF668=$P$6,AM674&lt;=$R$6),$V$6,0)+IF(AND(AF668=$P$7,AM674&lt;=$R$7),$V$7,0))
)</f>
        <v/>
      </c>
      <c r="AF674" s="153" t="s">
        <v>306</v>
      </c>
      <c r="AG674" s="598"/>
      <c r="AH674" s="599"/>
      <c r="AI674" s="600"/>
      <c r="AJ674" s="598"/>
      <c r="AK674" s="599"/>
      <c r="AL674" s="600"/>
      <c r="AM674" s="384"/>
      <c r="AN674" s="256"/>
      <c r="AO674" s="388"/>
    </row>
    <row r="675" spans="4:50" ht="15" customHeight="1" x14ac:dyDescent="0.3">
      <c r="D675" s="244"/>
      <c r="E675" s="341" t="str">
        <f>IF(OR(M675="",M675=0,J675="",G675=""),"",
(IF(AND(F668=$P$4,M675&lt;=$R$4),$V$4,0)+IF(AND(F668=$P$5,M675&lt;=$R$5),$V$5,0)+IF(AND(F668=$P$6,M675&lt;=$R$6),$V$6,0)+IF(AND(F668=$P$7,M675&lt;=$R$7),$V$7,0))
)</f>
        <v/>
      </c>
      <c r="F675" s="153" t="s">
        <v>307</v>
      </c>
      <c r="G675" s="616"/>
      <c r="H675" s="617"/>
      <c r="I675" s="618"/>
      <c r="J675" s="616"/>
      <c r="K675" s="617"/>
      <c r="L675" s="618"/>
      <c r="M675" s="255"/>
      <c r="N675" s="256"/>
      <c r="O675" s="388"/>
      <c r="AA675" s="50"/>
      <c r="AD675" s="244"/>
      <c r="AE675" s="341" t="str">
        <f>IF(OR(AM675="",AM675=0,AJ675="",AG675=""),"",
(IF(AND(AF668=$P$4,AM675&lt;=$R$4),$V$4,0)+IF(AND(AF668=$P$5,AM675&lt;=$R$5),$V$5,0)+IF(AND(AF668=$P$6,AM675&lt;=$R$6),$V$6,0)+IF(AND(AF668=$P$7,AM675&lt;=$R$7),$V$7,0))
)</f>
        <v/>
      </c>
      <c r="AF675" s="153" t="s">
        <v>307</v>
      </c>
      <c r="AG675" s="598"/>
      <c r="AH675" s="599"/>
      <c r="AI675" s="600"/>
      <c r="AJ675" s="598"/>
      <c r="AK675" s="599"/>
      <c r="AL675" s="600"/>
      <c r="AM675" s="384"/>
      <c r="AN675" s="256"/>
      <c r="AO675" s="388"/>
    </row>
    <row r="676" spans="4:50" ht="15" customHeight="1" x14ac:dyDescent="0.3">
      <c r="D676" s="244"/>
      <c r="E676" s="341" t="str">
        <f>IF(OR(M676="",M676=0,J676="",G676=""),"",
(IF(AND(F668=$P$4,M676&lt;=$R$4),$V$4,0)+IF(AND(F668=$P$5,M676&lt;=$R$5),$V$5,0)+IF(AND(F668=$P$6,M676&lt;=$R$6),$V$6,0)+IF(AND(F668=$P$7,M676&lt;=$R$7),$V$7,0))
)</f>
        <v/>
      </c>
      <c r="F676" s="153" t="s">
        <v>308</v>
      </c>
      <c r="G676" s="616"/>
      <c r="H676" s="617"/>
      <c r="I676" s="618"/>
      <c r="J676" s="616"/>
      <c r="K676" s="617"/>
      <c r="L676" s="618"/>
      <c r="M676" s="255"/>
      <c r="N676" s="256"/>
      <c r="O676" s="388"/>
      <c r="AA676" s="50"/>
      <c r="AD676" s="244"/>
      <c r="AE676" s="341" t="str">
        <f>IF(OR(AM676="",AM676=0,AJ676="",AG676=""),"",
(IF(AND(AF668=$P$4,AM676&lt;=$R$4),$V$4,0)+IF(AND(AF668=$P$5,AM676&lt;=$R$5),$V$5,0)+IF(AND(AF668=$P$6,AM676&lt;=$R$6),$V$6,0)+IF(AND(AF668=$P$7,AM676&lt;=$R$7),$V$7,0))
)</f>
        <v/>
      </c>
      <c r="AF676" s="153" t="s">
        <v>308</v>
      </c>
      <c r="AG676" s="598"/>
      <c r="AH676" s="599"/>
      <c r="AI676" s="600"/>
      <c r="AJ676" s="598"/>
      <c r="AK676" s="599"/>
      <c r="AL676" s="600"/>
      <c r="AM676" s="384"/>
      <c r="AN676" s="256"/>
      <c r="AO676" s="388"/>
    </row>
    <row r="677" spans="4:50" ht="15" customHeight="1" thickBot="1" x14ac:dyDescent="0.35">
      <c r="D677" s="203"/>
      <c r="E677" s="3"/>
      <c r="F677" s="3"/>
      <c r="G677" s="3"/>
      <c r="H677" s="3"/>
      <c r="I677" s="3"/>
      <c r="J677" s="3"/>
      <c r="K677" s="3"/>
      <c r="L677" s="3"/>
      <c r="M677" s="3"/>
      <c r="N677" s="204"/>
      <c r="P677" s="2"/>
      <c r="AA677" s="50"/>
      <c r="AD677" s="203"/>
      <c r="AE677" s="3"/>
      <c r="AF677" s="3"/>
      <c r="AG677" s="3"/>
      <c r="AH677" s="3"/>
      <c r="AI677" s="3"/>
      <c r="AJ677" s="3"/>
      <c r="AK677" s="3"/>
      <c r="AL677" s="3"/>
      <c r="AM677" s="3"/>
      <c r="AN677" s="204"/>
      <c r="AP677" s="2"/>
    </row>
    <row r="678" spans="4:50" x14ac:dyDescent="0.3">
      <c r="D678" s="601" t="str">
        <f>IF(
OR(
OR(F680=$P$4,F680=$P$5,F680=$P$6,F680=$P$7),AND(G682="",G683="",G684="",G685="",G686="",G687="",G688="",J682="",J683="",J684="",J685="",J686="",J687="",J688="",M682="",M683="",M684="",M685="",M686="",M687="",M688="",K679="",K680="")
),
"",
"A Set-Aside must be selected."
)</f>
        <v/>
      </c>
      <c r="E678" s="602"/>
      <c r="F678" s="602"/>
      <c r="G678" s="602"/>
      <c r="H678" s="602"/>
      <c r="I678" s="602"/>
      <c r="J678" s="602"/>
      <c r="K678" s="602"/>
      <c r="L678" s="602"/>
      <c r="M678" s="602"/>
      <c r="N678" s="603"/>
      <c r="O678" s="2"/>
      <c r="AA678" s="50"/>
      <c r="AD678" s="601" t="str">
        <f>IF(
OR(
OR(AF680=$P$4,AF680=$P$5,AF680=$P$6,AF680=$P$7),AND(AG682="",AG683="",AG684="",AG685="",AG686="",AG687="",AG688="",AJ682="",AJ683="",AJ684="",AJ685="",AJ686="",AJ687="",AJ688="",AM682="",AM683="",AM684="",AM685="",AM686="",AM687="",AM688="",AK679="",AK680="")
),
"",
"A Set-Aside must be selected."
)</f>
        <v/>
      </c>
      <c r="AE678" s="602"/>
      <c r="AF678" s="602"/>
      <c r="AG678" s="602"/>
      <c r="AH678" s="602"/>
      <c r="AI678" s="602"/>
      <c r="AJ678" s="602"/>
      <c r="AK678" s="602"/>
      <c r="AL678" s="602"/>
      <c r="AM678" s="602"/>
      <c r="AN678" s="603"/>
      <c r="AO678" s="2"/>
    </row>
    <row r="679" spans="4:50" ht="15.75" customHeight="1" x14ac:dyDescent="0.3">
      <c r="D679" s="199"/>
      <c r="E679" s="9" t="s">
        <v>30</v>
      </c>
      <c r="F679" s="86">
        <f>F667+1</f>
        <v>54</v>
      </c>
      <c r="G679" s="9" t="s">
        <v>175</v>
      </c>
      <c r="H679" s="9"/>
      <c r="I679" s="9"/>
      <c r="J679" s="168" t="s">
        <v>111</v>
      </c>
      <c r="K679" s="148"/>
      <c r="N679" s="200"/>
      <c r="R679" s="596" t="s">
        <v>302</v>
      </c>
      <c r="S679" s="596" t="s">
        <v>303</v>
      </c>
      <c r="T679" s="596" t="s">
        <v>304</v>
      </c>
      <c r="U679" s="596" t="s">
        <v>305</v>
      </c>
      <c r="V679" s="596" t="s">
        <v>306</v>
      </c>
      <c r="W679" s="596" t="s">
        <v>307</v>
      </c>
      <c r="X679" s="596" t="s">
        <v>308</v>
      </c>
      <c r="AA679" s="50"/>
      <c r="AD679" s="199"/>
      <c r="AE679" s="9" t="s">
        <v>30</v>
      </c>
      <c r="AF679" s="86">
        <f>AF667+1</f>
        <v>54</v>
      </c>
      <c r="AG679" s="9" t="s">
        <v>175</v>
      </c>
      <c r="AH679" s="9"/>
      <c r="AI679" s="9"/>
      <c r="AJ679" s="168" t="s">
        <v>111</v>
      </c>
      <c r="AK679" s="382"/>
      <c r="AN679" s="200"/>
      <c r="AR679" s="596" t="s">
        <v>302</v>
      </c>
      <c r="AS679" s="596" t="s">
        <v>303</v>
      </c>
      <c r="AT679" s="596" t="s">
        <v>304</v>
      </c>
      <c r="AU679" s="596" t="s">
        <v>305</v>
      </c>
      <c r="AV679" s="596" t="s">
        <v>306</v>
      </c>
      <c r="AW679" s="596" t="s">
        <v>307</v>
      </c>
      <c r="AX679" s="596" t="s">
        <v>308</v>
      </c>
    </row>
    <row r="680" spans="4:50" x14ac:dyDescent="0.3">
      <c r="D680" s="604" t="s">
        <v>31</v>
      </c>
      <c r="E680" s="594"/>
      <c r="F680" s="151"/>
      <c r="G680" s="86" t="str">
        <f>IF(F680=$P$4,$Q$4,IF(F680=$P$5,$Q$5,IF(F680=$P$6,$Q$6,IF(F680=$P$7,Q$7,IF(F680=$P$8,"","")))))</f>
        <v/>
      </c>
      <c r="H680" s="201"/>
      <c r="I680" s="201"/>
      <c r="J680" s="168" t="s">
        <v>112</v>
      </c>
      <c r="K680" s="148"/>
      <c r="N680" s="200"/>
      <c r="R680" s="596"/>
      <c r="S680" s="596"/>
      <c r="T680" s="596"/>
      <c r="U680" s="596"/>
      <c r="V680" s="596"/>
      <c r="W680" s="596"/>
      <c r="X680" s="596"/>
      <c r="AA680" s="50"/>
      <c r="AD680" s="604" t="s">
        <v>31</v>
      </c>
      <c r="AE680" s="594"/>
      <c r="AF680" s="383"/>
      <c r="AG680" s="86" t="str">
        <f>IF(AF680=$P$4,$Q$4,IF(AF680=$P$5,$Q$5,IF(AF680=$P$6,$Q$6,IF(AF680=$P$7,AQ$7,IF(AF680=$P$8,"","")))))</f>
        <v/>
      </c>
      <c r="AH680" s="201"/>
      <c r="AI680" s="201"/>
      <c r="AJ680" s="168" t="s">
        <v>112</v>
      </c>
      <c r="AK680" s="382"/>
      <c r="AN680" s="200"/>
      <c r="AR680" s="596"/>
      <c r="AS680" s="596"/>
      <c r="AT680" s="596"/>
      <c r="AU680" s="596"/>
      <c r="AV680" s="596"/>
      <c r="AW680" s="596"/>
      <c r="AX680" s="596"/>
    </row>
    <row r="681" spans="4:50" x14ac:dyDescent="0.3">
      <c r="D681" s="244"/>
      <c r="E681" s="230" t="s">
        <v>52</v>
      </c>
      <c r="F681" s="9" t="s">
        <v>32</v>
      </c>
      <c r="G681" s="9" t="s">
        <v>33</v>
      </c>
      <c r="H681" s="9"/>
      <c r="I681" s="9"/>
      <c r="J681" s="9" t="s">
        <v>34</v>
      </c>
      <c r="K681" s="9"/>
      <c r="L681" s="9"/>
      <c r="M681" s="257" t="s">
        <v>35</v>
      </c>
      <c r="N681" s="202"/>
      <c r="O681" s="9"/>
      <c r="P681" s="198" t="s">
        <v>22</v>
      </c>
      <c r="Q681" s="198"/>
      <c r="R681" s="596"/>
      <c r="S681" s="596"/>
      <c r="T681" s="596"/>
      <c r="U681" s="596"/>
      <c r="V681" s="596"/>
      <c r="W681" s="596"/>
      <c r="X681" s="596"/>
      <c r="AA681" s="50"/>
      <c r="AD681" s="244"/>
      <c r="AE681" s="230" t="s">
        <v>52</v>
      </c>
      <c r="AF681" s="9" t="s">
        <v>32</v>
      </c>
      <c r="AG681" s="9" t="s">
        <v>33</v>
      </c>
      <c r="AH681" s="9"/>
      <c r="AI681" s="9"/>
      <c r="AJ681" s="9" t="s">
        <v>34</v>
      </c>
      <c r="AK681" s="9"/>
      <c r="AL681" s="9"/>
      <c r="AM681" s="257" t="s">
        <v>35</v>
      </c>
      <c r="AN681" s="202"/>
      <c r="AO681" s="9"/>
      <c r="AP681" s="198" t="s">
        <v>22</v>
      </c>
      <c r="AQ681" s="198"/>
      <c r="AR681" s="596"/>
      <c r="AS681" s="596"/>
      <c r="AT681" s="596"/>
      <c r="AU681" s="596"/>
      <c r="AV681" s="596"/>
      <c r="AW681" s="596"/>
      <c r="AX681" s="596"/>
    </row>
    <row r="682" spans="4:50" x14ac:dyDescent="0.3">
      <c r="D682" s="244"/>
      <c r="E682" s="355" t="str">
        <f>IF(OR(M682="",M682=0,J682="",G682=""),"",
(IF(AND(F680=$P$4,M682&lt;=$R$4),$V$4,0)+IF(AND(F680=$P$5,M682&lt;=$R$5),$V$5,0)+IF(AND(F680=$P$6,M682&lt;=$R$6),$V$6,0)+IF(AND(F680=$P$7,M682&lt;=$R$7),$V$7,0))
)</f>
        <v/>
      </c>
      <c r="F682" s="153" t="s">
        <v>302</v>
      </c>
      <c r="G682" s="616"/>
      <c r="H682" s="617"/>
      <c r="I682" s="618"/>
      <c r="J682" s="616"/>
      <c r="K682" s="617"/>
      <c r="L682" s="618"/>
      <c r="M682" s="255"/>
      <c r="N682" s="256"/>
      <c r="O682" s="388"/>
      <c r="P682" s="185">
        <f t="shared" ref="P682" si="847">IF(F680="",0,1)</f>
        <v>0</v>
      </c>
      <c r="R682" s="185" t="str">
        <f t="shared" ref="R682" si="848">E682</f>
        <v/>
      </c>
      <c r="S682" s="185" t="str">
        <f t="shared" ref="S682" si="849">E683</f>
        <v/>
      </c>
      <c r="T682" s="185" t="str">
        <f t="shared" ref="T682" si="850">E684</f>
        <v/>
      </c>
      <c r="U682" s="185" t="str">
        <f t="shared" ref="U682" si="851">E685</f>
        <v/>
      </c>
      <c r="V682" s="185" t="str">
        <f t="shared" ref="V682" si="852">E686</f>
        <v/>
      </c>
      <c r="W682" s="185" t="str">
        <f t="shared" ref="W682" si="853">E687</f>
        <v/>
      </c>
      <c r="X682" s="185" t="str">
        <f t="shared" ref="X682" si="854">E688</f>
        <v/>
      </c>
      <c r="AA682" s="50"/>
      <c r="AD682" s="244"/>
      <c r="AE682" s="355" t="str">
        <f>IF(OR(AM682="",AM682=0,AJ682="",AG682=""),"",
(IF(AND(AF680=$P$4,AM682&lt;=$R$4),$V$4,0)+IF(AND(AF680=$P$5,AM682&lt;=$R$5),$V$5,0)+IF(AND(AF680=$P$6,AM682&lt;=$R$6),$V$6,0)+IF(AND(AF680=$P$7,AM682&lt;=$R$7),$V$7,0))
)</f>
        <v/>
      </c>
      <c r="AF682" s="153" t="s">
        <v>302</v>
      </c>
      <c r="AG682" s="598"/>
      <c r="AH682" s="599"/>
      <c r="AI682" s="600"/>
      <c r="AJ682" s="598"/>
      <c r="AK682" s="599"/>
      <c r="AL682" s="600"/>
      <c r="AM682" s="384"/>
      <c r="AN682" s="256"/>
      <c r="AO682" s="388"/>
      <c r="AP682" s="185">
        <f t="shared" ref="AP682" si="855">IF(AF680="",0,1)</f>
        <v>0</v>
      </c>
      <c r="AR682" s="185" t="str">
        <f t="shared" ref="AR682" si="856">AE682</f>
        <v/>
      </c>
      <c r="AS682" s="185" t="str">
        <f t="shared" ref="AS682" si="857">AE683</f>
        <v/>
      </c>
      <c r="AT682" s="185" t="str">
        <f t="shared" ref="AT682" si="858">AE684</f>
        <v/>
      </c>
      <c r="AU682" s="185" t="str">
        <f t="shared" ref="AU682" si="859">AE685</f>
        <v/>
      </c>
      <c r="AV682" s="185" t="str">
        <f t="shared" ref="AV682" si="860">AE686</f>
        <v/>
      </c>
      <c r="AW682" s="185" t="str">
        <f t="shared" ref="AW682" si="861">AE687</f>
        <v/>
      </c>
      <c r="AX682" s="185" t="str">
        <f t="shared" ref="AX682" si="862">AE688</f>
        <v/>
      </c>
    </row>
    <row r="683" spans="4:50" ht="15" customHeight="1" x14ac:dyDescent="0.3">
      <c r="D683" s="244"/>
      <c r="E683" s="341" t="str">
        <f>IF(OR(M683="",M683=0,J683="",G683=""),"",
(IF(AND(F680=$P$4,M683&lt;=$R$4),$V$4,0)+IF(AND(F680=$P$5,M683&lt;=$R$5),$V$5,0)+IF(AND(F680=$P$6,M683&lt;=$R$6),$V$6,0)+IF(AND(F680=$P$7,M683&lt;=$R$7),$V$7,0))
)</f>
        <v/>
      </c>
      <c r="F683" s="153" t="s">
        <v>303</v>
      </c>
      <c r="G683" s="616"/>
      <c r="H683" s="617"/>
      <c r="I683" s="618"/>
      <c r="J683" s="616"/>
      <c r="K683" s="617"/>
      <c r="L683" s="618"/>
      <c r="M683" s="255"/>
      <c r="N683" s="256"/>
      <c r="O683" s="388"/>
      <c r="AA683" s="50"/>
      <c r="AD683" s="244"/>
      <c r="AE683" s="341" t="str">
        <f>IF(OR(AM683="",AM683=0,AJ683="",AG683=""),"",
(IF(AND(AF680=$P$4,AM683&lt;=$R$4),$V$4,0)+IF(AND(AF680=$P$5,AM683&lt;=$R$5),$V$5,0)+IF(AND(AF680=$P$6,AM683&lt;=$R$6),$V$6,0)+IF(AND(AF680=$P$7,AM683&lt;=$R$7),$V$7,0))
)</f>
        <v/>
      </c>
      <c r="AF683" s="153" t="s">
        <v>303</v>
      </c>
      <c r="AG683" s="598"/>
      <c r="AH683" s="599"/>
      <c r="AI683" s="600"/>
      <c r="AJ683" s="598"/>
      <c r="AK683" s="599"/>
      <c r="AL683" s="600"/>
      <c r="AM683" s="384"/>
      <c r="AN683" s="256"/>
      <c r="AO683" s="388"/>
    </row>
    <row r="684" spans="4:50" ht="15" customHeight="1" x14ac:dyDescent="0.3">
      <c r="D684" s="244"/>
      <c r="E684" s="341" t="str">
        <f>IF(OR(M684="",M684=0,J684="",G684=""),"",
(IF(AND(F680=$P$4,M684&lt;=$R$4),$V$4,0)+IF(AND(F680=$P$5,M684&lt;=$R$5),$V$5,0)+IF(AND(F680=$P$6,M684&lt;=$R$6),$V$6,0)+IF(AND(F680=$P$7,M684&lt;=$R$7),$V$7,0))
)</f>
        <v/>
      </c>
      <c r="F684" s="153" t="s">
        <v>304</v>
      </c>
      <c r="G684" s="616"/>
      <c r="H684" s="617"/>
      <c r="I684" s="618"/>
      <c r="J684" s="616"/>
      <c r="K684" s="617"/>
      <c r="L684" s="618"/>
      <c r="M684" s="255"/>
      <c r="N684" s="256"/>
      <c r="O684" s="388"/>
      <c r="AA684" s="50"/>
      <c r="AD684" s="244"/>
      <c r="AE684" s="341" t="str">
        <f>IF(OR(AM684="",AM684=0,AJ684="",AG684=""),"",
(IF(AND(AF680=$P$4,AM684&lt;=$R$4),$V$4,0)+IF(AND(AF680=$P$5,AM684&lt;=$R$5),$V$5,0)+IF(AND(AF680=$P$6,AM684&lt;=$R$6),$V$6,0)+IF(AND(AF680=$P$7,AM684&lt;=$R$7),$V$7,0))
)</f>
        <v/>
      </c>
      <c r="AF684" s="153" t="s">
        <v>304</v>
      </c>
      <c r="AG684" s="598"/>
      <c r="AH684" s="599"/>
      <c r="AI684" s="600"/>
      <c r="AJ684" s="598"/>
      <c r="AK684" s="599"/>
      <c r="AL684" s="600"/>
      <c r="AM684" s="384"/>
      <c r="AN684" s="256"/>
      <c r="AO684" s="388"/>
    </row>
    <row r="685" spans="4:50" ht="15" customHeight="1" x14ac:dyDescent="0.3">
      <c r="D685" s="244"/>
      <c r="E685" s="341" t="str">
        <f>IF(OR(M685="",M685=0,J685="",G685=""),"",
(IF(AND(F680=$P$4,M685&lt;=$R$4),$V$4,0)+IF(AND(F680=$P$5,M685&lt;=$R$5),$V$5,0)+IF(AND(F680=$P$6,M685&lt;=$R$6),$V$6,0)+IF(AND(F680=$P$7,M685&lt;=$R$7),$V$7,0))
)</f>
        <v/>
      </c>
      <c r="F685" s="153" t="s">
        <v>305</v>
      </c>
      <c r="G685" s="616"/>
      <c r="H685" s="617"/>
      <c r="I685" s="618"/>
      <c r="J685" s="616"/>
      <c r="K685" s="617"/>
      <c r="L685" s="618"/>
      <c r="M685" s="255"/>
      <c r="N685" s="256"/>
      <c r="O685" s="388"/>
      <c r="AA685" s="50"/>
      <c r="AD685" s="244"/>
      <c r="AE685" s="341" t="str">
        <f>IF(OR(AM685="",AM685=0,AJ685="",AG685=""),"",
(IF(AND(AF680=$P$4,AM685&lt;=$R$4),$V$4,0)+IF(AND(AF680=$P$5,AM685&lt;=$R$5),$V$5,0)+IF(AND(AF680=$P$6,AM685&lt;=$R$6),$V$6,0)+IF(AND(AF680=$P$7,AM685&lt;=$R$7),$V$7,0))
)</f>
        <v/>
      </c>
      <c r="AF685" s="153" t="s">
        <v>305</v>
      </c>
      <c r="AG685" s="598"/>
      <c r="AH685" s="599"/>
      <c r="AI685" s="600"/>
      <c r="AJ685" s="598"/>
      <c r="AK685" s="599"/>
      <c r="AL685" s="600"/>
      <c r="AM685" s="384"/>
      <c r="AN685" s="256"/>
      <c r="AO685" s="388"/>
    </row>
    <row r="686" spans="4:50" ht="15" customHeight="1" x14ac:dyDescent="0.3">
      <c r="D686" s="244"/>
      <c r="E686" s="341" t="str">
        <f>IF(OR(M686="",M686=0,J686="",G686=""),"",
(IF(AND(F680=$P$4,M686&lt;=$R$4),$V$4,0)+IF(AND(F680=$P$5,M686&lt;=$R$5),$V$5,0)+IF(AND(F680=$P$6,M686&lt;=$R$6),$V$6,0)+IF(AND(F680=$P$7,M686&lt;=$R$7),$V$7,0))
)</f>
        <v/>
      </c>
      <c r="F686" s="153" t="s">
        <v>306</v>
      </c>
      <c r="G686" s="616"/>
      <c r="H686" s="617"/>
      <c r="I686" s="618"/>
      <c r="J686" s="616"/>
      <c r="K686" s="617"/>
      <c r="L686" s="618"/>
      <c r="M686" s="255"/>
      <c r="N686" s="256"/>
      <c r="O686" s="388"/>
      <c r="AA686" s="50"/>
      <c r="AD686" s="244"/>
      <c r="AE686" s="341" t="str">
        <f>IF(OR(AM686="",AM686=0,AJ686="",AG686=""),"",
(IF(AND(AF680=$P$4,AM686&lt;=$R$4),$V$4,0)+IF(AND(AF680=$P$5,AM686&lt;=$R$5),$V$5,0)+IF(AND(AF680=$P$6,AM686&lt;=$R$6),$V$6,0)+IF(AND(AF680=$P$7,AM686&lt;=$R$7),$V$7,0))
)</f>
        <v/>
      </c>
      <c r="AF686" s="153" t="s">
        <v>306</v>
      </c>
      <c r="AG686" s="598"/>
      <c r="AH686" s="599"/>
      <c r="AI686" s="600"/>
      <c r="AJ686" s="598"/>
      <c r="AK686" s="599"/>
      <c r="AL686" s="600"/>
      <c r="AM686" s="384"/>
      <c r="AN686" s="256"/>
      <c r="AO686" s="388"/>
    </row>
    <row r="687" spans="4:50" ht="15" customHeight="1" x14ac:dyDescent="0.3">
      <c r="D687" s="244"/>
      <c r="E687" s="341" t="str">
        <f>IF(OR(M687="",M687=0,J687="",G687=""),"",
(IF(AND(F680=$P$4,M687&lt;=$R$4),$V$4,0)+IF(AND(F680=$P$5,M687&lt;=$R$5),$V$5,0)+IF(AND(F680=$P$6,M687&lt;=$R$6),$V$6,0)+IF(AND(F680=$P$7,M687&lt;=$R$7),$V$7,0))
)</f>
        <v/>
      </c>
      <c r="F687" s="153" t="s">
        <v>307</v>
      </c>
      <c r="G687" s="616"/>
      <c r="H687" s="617"/>
      <c r="I687" s="618"/>
      <c r="J687" s="616"/>
      <c r="K687" s="617"/>
      <c r="L687" s="618"/>
      <c r="M687" s="255"/>
      <c r="N687" s="256"/>
      <c r="O687" s="388"/>
      <c r="AA687" s="50"/>
      <c r="AD687" s="244"/>
      <c r="AE687" s="341" t="str">
        <f>IF(OR(AM687="",AM687=0,AJ687="",AG687=""),"",
(IF(AND(AF680=$P$4,AM687&lt;=$R$4),$V$4,0)+IF(AND(AF680=$P$5,AM687&lt;=$R$5),$V$5,0)+IF(AND(AF680=$P$6,AM687&lt;=$R$6),$V$6,0)+IF(AND(AF680=$P$7,AM687&lt;=$R$7),$V$7,0))
)</f>
        <v/>
      </c>
      <c r="AF687" s="153" t="s">
        <v>307</v>
      </c>
      <c r="AG687" s="598"/>
      <c r="AH687" s="599"/>
      <c r="AI687" s="600"/>
      <c r="AJ687" s="598"/>
      <c r="AK687" s="599"/>
      <c r="AL687" s="600"/>
      <c r="AM687" s="384"/>
      <c r="AN687" s="256"/>
      <c r="AO687" s="388"/>
    </row>
    <row r="688" spans="4:50" x14ac:dyDescent="0.3">
      <c r="D688" s="244"/>
      <c r="E688" s="341" t="str">
        <f>IF(OR(M688="",M688=0,J688="",G688=""),"",
(IF(AND(F680=$P$4,M688&lt;=$R$4),$V$4,0)+IF(AND(F680=$P$5,M688&lt;=$R$5),$V$5,0)+IF(AND(F680=$P$6,M688&lt;=$R$6),$V$6,0)+IF(AND(F680=$P$7,M688&lt;=$R$7),$V$7,0))
)</f>
        <v/>
      </c>
      <c r="F688" s="153" t="s">
        <v>308</v>
      </c>
      <c r="G688" s="616"/>
      <c r="H688" s="617"/>
      <c r="I688" s="618"/>
      <c r="J688" s="616"/>
      <c r="K688" s="617"/>
      <c r="L688" s="618"/>
      <c r="M688" s="255"/>
      <c r="N688" s="256"/>
      <c r="O688" s="388"/>
      <c r="AA688" s="50"/>
      <c r="AD688" s="244"/>
      <c r="AE688" s="341" t="str">
        <f>IF(OR(AM688="",AM688=0,AJ688="",AG688=""),"",
(IF(AND(AF680=$P$4,AM688&lt;=$R$4),$V$4,0)+IF(AND(AF680=$P$5,AM688&lt;=$R$5),$V$5,0)+IF(AND(AF680=$P$6,AM688&lt;=$R$6),$V$6,0)+IF(AND(AF680=$P$7,AM688&lt;=$R$7),$V$7,0))
)</f>
        <v/>
      </c>
      <c r="AF688" s="153" t="s">
        <v>308</v>
      </c>
      <c r="AG688" s="598"/>
      <c r="AH688" s="599"/>
      <c r="AI688" s="600"/>
      <c r="AJ688" s="598"/>
      <c r="AK688" s="599"/>
      <c r="AL688" s="600"/>
      <c r="AM688" s="384"/>
      <c r="AN688" s="256"/>
      <c r="AO688" s="388"/>
    </row>
    <row r="689" spans="4:50" ht="16.2" thickBot="1" x14ac:dyDescent="0.35">
      <c r="D689" s="203"/>
      <c r="E689" s="3"/>
      <c r="F689" s="3"/>
      <c r="G689" s="3"/>
      <c r="H689" s="3"/>
      <c r="I689" s="3"/>
      <c r="J689" s="3"/>
      <c r="K689" s="3"/>
      <c r="L689" s="3"/>
      <c r="M689" s="3"/>
      <c r="N689" s="204"/>
      <c r="P689" s="2"/>
      <c r="AA689" s="50"/>
      <c r="AD689" s="203"/>
      <c r="AE689" s="3"/>
      <c r="AF689" s="3"/>
      <c r="AG689" s="3"/>
      <c r="AH689" s="3"/>
      <c r="AI689" s="3"/>
      <c r="AJ689" s="3"/>
      <c r="AK689" s="3"/>
      <c r="AL689" s="3"/>
      <c r="AM689" s="3"/>
      <c r="AN689" s="204"/>
      <c r="AP689" s="2"/>
    </row>
    <row r="690" spans="4:50" x14ac:dyDescent="0.3">
      <c r="D690" s="601" t="str">
        <f>IF(
OR(
OR(F692=$P$4,F692=$P$5,F692=$P$6,F692=$P$7),AND(G694="",G695="",G696="",G697="",G698="",G699="",G700="",J694="",J695="",J696="",J697="",J698="",J699="",J700="",M694="",M695="",M696="",M697="",M698="",M699="",M700="",K691="",K692="")
),
"",
"A Set-Aside must be selected."
)</f>
        <v/>
      </c>
      <c r="E690" s="602"/>
      <c r="F690" s="602"/>
      <c r="G690" s="602"/>
      <c r="H690" s="602"/>
      <c r="I690" s="602"/>
      <c r="J690" s="602"/>
      <c r="K690" s="602"/>
      <c r="L690" s="602"/>
      <c r="M690" s="602"/>
      <c r="N690" s="603"/>
      <c r="O690" s="2"/>
      <c r="AA690" s="50"/>
      <c r="AD690" s="601" t="str">
        <f>IF(
OR(
OR(AF692=$P$4,AF692=$P$5,AF692=$P$6,AF692=$P$7),AND(AG694="",AG695="",AG696="",AG697="",AG698="",AG699="",AG700="",AJ694="",AJ695="",AJ696="",AJ697="",AJ698="",AJ699="",AJ700="",AM694="",AM695="",AM696="",AM697="",AM698="",AM699="",AM700="",AK691="",AK692="")
),
"",
"A Set-Aside must be selected."
)</f>
        <v/>
      </c>
      <c r="AE690" s="602"/>
      <c r="AF690" s="602"/>
      <c r="AG690" s="602"/>
      <c r="AH690" s="602"/>
      <c r="AI690" s="602"/>
      <c r="AJ690" s="602"/>
      <c r="AK690" s="602"/>
      <c r="AL690" s="602"/>
      <c r="AM690" s="602"/>
      <c r="AN690" s="603"/>
      <c r="AO690" s="2"/>
    </row>
    <row r="691" spans="4:50" ht="15.75" customHeight="1" x14ac:dyDescent="0.3">
      <c r="D691" s="199"/>
      <c r="E691" s="9" t="s">
        <v>30</v>
      </c>
      <c r="F691" s="86">
        <f>F679+1</f>
        <v>55</v>
      </c>
      <c r="G691" s="9" t="s">
        <v>175</v>
      </c>
      <c r="H691" s="9"/>
      <c r="I691" s="9"/>
      <c r="J691" s="168" t="s">
        <v>111</v>
      </c>
      <c r="K691" s="148"/>
      <c r="N691" s="200"/>
      <c r="R691" s="596" t="s">
        <v>302</v>
      </c>
      <c r="S691" s="596" t="s">
        <v>303</v>
      </c>
      <c r="T691" s="596" t="s">
        <v>304</v>
      </c>
      <c r="U691" s="596" t="s">
        <v>305</v>
      </c>
      <c r="V691" s="596" t="s">
        <v>306</v>
      </c>
      <c r="W691" s="596" t="s">
        <v>307</v>
      </c>
      <c r="X691" s="596" t="s">
        <v>308</v>
      </c>
      <c r="AA691" s="50"/>
      <c r="AD691" s="199"/>
      <c r="AE691" s="9" t="s">
        <v>30</v>
      </c>
      <c r="AF691" s="86">
        <f>AF679+1</f>
        <v>55</v>
      </c>
      <c r="AG691" s="9" t="s">
        <v>175</v>
      </c>
      <c r="AH691" s="9"/>
      <c r="AI691" s="9"/>
      <c r="AJ691" s="168" t="s">
        <v>111</v>
      </c>
      <c r="AK691" s="382"/>
      <c r="AN691" s="200"/>
      <c r="AR691" s="596" t="s">
        <v>302</v>
      </c>
      <c r="AS691" s="596" t="s">
        <v>303</v>
      </c>
      <c r="AT691" s="596" t="s">
        <v>304</v>
      </c>
      <c r="AU691" s="596" t="s">
        <v>305</v>
      </c>
      <c r="AV691" s="596" t="s">
        <v>306</v>
      </c>
      <c r="AW691" s="596" t="s">
        <v>307</v>
      </c>
      <c r="AX691" s="596" t="s">
        <v>308</v>
      </c>
    </row>
    <row r="692" spans="4:50" ht="15.75" customHeight="1" x14ac:dyDescent="0.3">
      <c r="D692" s="604" t="s">
        <v>31</v>
      </c>
      <c r="E692" s="594"/>
      <c r="F692" s="151"/>
      <c r="G692" s="86" t="str">
        <f>IF(F692=$P$4,$Q$4,IF(F692=$P$5,$Q$5,IF(F692=$P$6,$Q$6,IF(F692=$P$7,Q$7,IF(F692=$P$8,"","")))))</f>
        <v/>
      </c>
      <c r="H692" s="201"/>
      <c r="I692" s="201"/>
      <c r="J692" s="168" t="s">
        <v>112</v>
      </c>
      <c r="K692" s="148"/>
      <c r="N692" s="200"/>
      <c r="R692" s="596"/>
      <c r="S692" s="596"/>
      <c r="T692" s="596"/>
      <c r="U692" s="596"/>
      <c r="V692" s="596"/>
      <c r="W692" s="596"/>
      <c r="X692" s="596"/>
      <c r="AA692" s="50"/>
      <c r="AD692" s="604" t="s">
        <v>31</v>
      </c>
      <c r="AE692" s="594"/>
      <c r="AF692" s="383"/>
      <c r="AG692" s="86" t="str">
        <f>IF(AF692=$P$4,$Q$4,IF(AF692=$P$5,$Q$5,IF(AF692=$P$6,$Q$6,IF(AF692=$P$7,AQ$7,IF(AF692=$P$8,"","")))))</f>
        <v/>
      </c>
      <c r="AH692" s="201"/>
      <c r="AI692" s="201"/>
      <c r="AJ692" s="168" t="s">
        <v>112</v>
      </c>
      <c r="AK692" s="382"/>
      <c r="AN692" s="200"/>
      <c r="AR692" s="596"/>
      <c r="AS692" s="596"/>
      <c r="AT692" s="596"/>
      <c r="AU692" s="596"/>
      <c r="AV692" s="596"/>
      <c r="AW692" s="596"/>
      <c r="AX692" s="596"/>
    </row>
    <row r="693" spans="4:50" x14ac:dyDescent="0.3">
      <c r="D693" s="244"/>
      <c r="E693" s="230" t="s">
        <v>52</v>
      </c>
      <c r="F693" s="9" t="s">
        <v>32</v>
      </c>
      <c r="G693" s="9" t="s">
        <v>33</v>
      </c>
      <c r="H693" s="9"/>
      <c r="I693" s="9"/>
      <c r="J693" s="9" t="s">
        <v>34</v>
      </c>
      <c r="K693" s="9"/>
      <c r="L693" s="9"/>
      <c r="M693" s="257" t="s">
        <v>35</v>
      </c>
      <c r="N693" s="202"/>
      <c r="O693" s="9"/>
      <c r="P693" s="198" t="s">
        <v>22</v>
      </c>
      <c r="Q693" s="198"/>
      <c r="R693" s="596"/>
      <c r="S693" s="596"/>
      <c r="T693" s="596"/>
      <c r="U693" s="596"/>
      <c r="V693" s="596"/>
      <c r="W693" s="596"/>
      <c r="X693" s="596"/>
      <c r="AA693" s="50"/>
      <c r="AD693" s="244"/>
      <c r="AE693" s="230" t="s">
        <v>52</v>
      </c>
      <c r="AF693" s="9" t="s">
        <v>32</v>
      </c>
      <c r="AG693" s="9" t="s">
        <v>33</v>
      </c>
      <c r="AH693" s="9"/>
      <c r="AI693" s="9"/>
      <c r="AJ693" s="9" t="s">
        <v>34</v>
      </c>
      <c r="AK693" s="9"/>
      <c r="AL693" s="9"/>
      <c r="AM693" s="257" t="s">
        <v>35</v>
      </c>
      <c r="AN693" s="202"/>
      <c r="AO693" s="9"/>
      <c r="AP693" s="198" t="s">
        <v>22</v>
      </c>
      <c r="AQ693" s="198"/>
      <c r="AR693" s="596"/>
      <c r="AS693" s="596"/>
      <c r="AT693" s="596"/>
      <c r="AU693" s="596"/>
      <c r="AV693" s="596"/>
      <c r="AW693" s="596"/>
      <c r="AX693" s="596"/>
    </row>
    <row r="694" spans="4:50" ht="15" customHeight="1" x14ac:dyDescent="0.3">
      <c r="D694" s="244"/>
      <c r="E694" s="355" t="str">
        <f>IF(OR(M694="",M694=0,J694="",G694=""),"",
(IF(AND(F692=$P$4,M694&lt;=$R$4),$V$4,0)+IF(AND(F692=$P$5,M694&lt;=$R$5),$V$5,0)+IF(AND(F692=$P$6,M694&lt;=$R$6),$V$6,0)+IF(AND(F692=$P$7,M694&lt;=$R$7),$V$7,0))
)</f>
        <v/>
      </c>
      <c r="F694" s="153" t="s">
        <v>302</v>
      </c>
      <c r="G694" s="616"/>
      <c r="H694" s="617"/>
      <c r="I694" s="618"/>
      <c r="J694" s="616"/>
      <c r="K694" s="617"/>
      <c r="L694" s="618"/>
      <c r="M694" s="255"/>
      <c r="N694" s="256"/>
      <c r="O694" s="388"/>
      <c r="P694" s="185">
        <f t="shared" ref="P694" si="863">IF(F692="",0,1)</f>
        <v>0</v>
      </c>
      <c r="R694" s="185" t="str">
        <f t="shared" ref="R694" si="864">E694</f>
        <v/>
      </c>
      <c r="S694" s="185" t="str">
        <f t="shared" ref="S694" si="865">E695</f>
        <v/>
      </c>
      <c r="T694" s="185" t="str">
        <f t="shared" ref="T694" si="866">E696</f>
        <v/>
      </c>
      <c r="U694" s="185" t="str">
        <f t="shared" ref="U694" si="867">E697</f>
        <v/>
      </c>
      <c r="V694" s="185" t="str">
        <f t="shared" ref="V694" si="868">E698</f>
        <v/>
      </c>
      <c r="W694" s="185" t="str">
        <f t="shared" ref="W694" si="869">E699</f>
        <v/>
      </c>
      <c r="X694" s="185" t="str">
        <f t="shared" ref="X694" si="870">E700</f>
        <v/>
      </c>
      <c r="AA694" s="50"/>
      <c r="AD694" s="244"/>
      <c r="AE694" s="355" t="str">
        <f>IF(OR(AM694="",AM694=0,AJ694="",AG694=""),"",
(IF(AND(AF692=$P$4,AM694&lt;=$R$4),$V$4,0)+IF(AND(AF692=$P$5,AM694&lt;=$R$5),$V$5,0)+IF(AND(AF692=$P$6,AM694&lt;=$R$6),$V$6,0)+IF(AND(AF692=$P$7,AM694&lt;=$R$7),$V$7,0))
)</f>
        <v/>
      </c>
      <c r="AF694" s="153" t="s">
        <v>302</v>
      </c>
      <c r="AG694" s="598"/>
      <c r="AH694" s="599"/>
      <c r="AI694" s="600"/>
      <c r="AJ694" s="598"/>
      <c r="AK694" s="599"/>
      <c r="AL694" s="600"/>
      <c r="AM694" s="384"/>
      <c r="AN694" s="256"/>
      <c r="AO694" s="388"/>
      <c r="AP694" s="185">
        <f t="shared" ref="AP694" si="871">IF(AF692="",0,1)</f>
        <v>0</v>
      </c>
      <c r="AR694" s="185" t="str">
        <f t="shared" ref="AR694" si="872">AE694</f>
        <v/>
      </c>
      <c r="AS694" s="185" t="str">
        <f t="shared" ref="AS694" si="873">AE695</f>
        <v/>
      </c>
      <c r="AT694" s="185" t="str">
        <f t="shared" ref="AT694" si="874">AE696</f>
        <v/>
      </c>
      <c r="AU694" s="185" t="str">
        <f t="shared" ref="AU694" si="875">AE697</f>
        <v/>
      </c>
      <c r="AV694" s="185" t="str">
        <f t="shared" ref="AV694" si="876">AE698</f>
        <v/>
      </c>
      <c r="AW694" s="185" t="str">
        <f t="shared" ref="AW694" si="877">AE699</f>
        <v/>
      </c>
      <c r="AX694" s="185" t="str">
        <f t="shared" ref="AX694" si="878">AE700</f>
        <v/>
      </c>
    </row>
    <row r="695" spans="4:50" ht="15" customHeight="1" x14ac:dyDescent="0.3">
      <c r="D695" s="244"/>
      <c r="E695" s="341" t="str">
        <f>IF(OR(M695="",M695=0,J695="",G695=""),"",
(IF(AND(F692=$P$4,M695&lt;=$R$4),$V$4,0)+IF(AND(F692=$P$5,M695&lt;=$R$5),$V$5,0)+IF(AND(F692=$P$6,M695&lt;=$R$6),$V$6,0)+IF(AND(F692=$P$7,M695&lt;=$R$7),$V$7,0))
)</f>
        <v/>
      </c>
      <c r="F695" s="153" t="s">
        <v>303</v>
      </c>
      <c r="G695" s="616"/>
      <c r="H695" s="617"/>
      <c r="I695" s="618"/>
      <c r="J695" s="616"/>
      <c r="K695" s="617"/>
      <c r="L695" s="618"/>
      <c r="M695" s="255"/>
      <c r="N695" s="256"/>
      <c r="O695" s="388"/>
      <c r="AA695" s="50"/>
      <c r="AD695" s="244"/>
      <c r="AE695" s="341" t="str">
        <f>IF(OR(AM695="",AM695=0,AJ695="",AG695=""),"",
(IF(AND(AF692=$P$4,AM695&lt;=$R$4),$V$4,0)+IF(AND(AF692=$P$5,AM695&lt;=$R$5),$V$5,0)+IF(AND(AF692=$P$6,AM695&lt;=$R$6),$V$6,0)+IF(AND(AF692=$P$7,AM695&lt;=$R$7),$V$7,0))
)</f>
        <v/>
      </c>
      <c r="AF695" s="153" t="s">
        <v>303</v>
      </c>
      <c r="AG695" s="598"/>
      <c r="AH695" s="599"/>
      <c r="AI695" s="600"/>
      <c r="AJ695" s="598"/>
      <c r="AK695" s="599"/>
      <c r="AL695" s="600"/>
      <c r="AM695" s="384"/>
      <c r="AN695" s="256"/>
      <c r="AO695" s="388"/>
    </row>
    <row r="696" spans="4:50" ht="15" customHeight="1" x14ac:dyDescent="0.3">
      <c r="D696" s="244"/>
      <c r="E696" s="341" t="str">
        <f>IF(OR(M696="",M696=0,J696="",G696=""),"",
(IF(AND(F692=$P$4,M696&lt;=$R$4),$V$4,0)+IF(AND(F692=$P$5,M696&lt;=$R$5),$V$5,0)+IF(AND(F692=$P$6,M696&lt;=$R$6),$V$6,0)+IF(AND(F692=$P$7,M696&lt;=$R$7),$V$7,0))
)</f>
        <v/>
      </c>
      <c r="F696" s="153" t="s">
        <v>304</v>
      </c>
      <c r="G696" s="616"/>
      <c r="H696" s="617"/>
      <c r="I696" s="618"/>
      <c r="J696" s="616"/>
      <c r="K696" s="617"/>
      <c r="L696" s="618"/>
      <c r="M696" s="255"/>
      <c r="N696" s="256"/>
      <c r="O696" s="388"/>
      <c r="AA696" s="50"/>
      <c r="AD696" s="244"/>
      <c r="AE696" s="341" t="str">
        <f>IF(OR(AM696="",AM696=0,AJ696="",AG696=""),"",
(IF(AND(AF692=$P$4,AM696&lt;=$R$4),$V$4,0)+IF(AND(AF692=$P$5,AM696&lt;=$R$5),$V$5,0)+IF(AND(AF692=$P$6,AM696&lt;=$R$6),$V$6,0)+IF(AND(AF692=$P$7,AM696&lt;=$R$7),$V$7,0))
)</f>
        <v/>
      </c>
      <c r="AF696" s="153" t="s">
        <v>304</v>
      </c>
      <c r="AG696" s="598"/>
      <c r="AH696" s="599"/>
      <c r="AI696" s="600"/>
      <c r="AJ696" s="598"/>
      <c r="AK696" s="599"/>
      <c r="AL696" s="600"/>
      <c r="AM696" s="384"/>
      <c r="AN696" s="256"/>
      <c r="AO696" s="388"/>
    </row>
    <row r="697" spans="4:50" ht="15" customHeight="1" x14ac:dyDescent="0.3">
      <c r="D697" s="244"/>
      <c r="E697" s="341" t="str">
        <f>IF(OR(M697="",M697=0,J697="",G697=""),"",
(IF(AND(F692=$P$4,M697&lt;=$R$4),$V$4,0)+IF(AND(F692=$P$5,M697&lt;=$R$5),$V$5,0)+IF(AND(F692=$P$6,M697&lt;=$R$6),$V$6,0)+IF(AND(F692=$P$7,M697&lt;=$R$7),$V$7,0))
)</f>
        <v/>
      </c>
      <c r="F697" s="153" t="s">
        <v>305</v>
      </c>
      <c r="G697" s="616"/>
      <c r="H697" s="617"/>
      <c r="I697" s="618"/>
      <c r="J697" s="616"/>
      <c r="K697" s="617"/>
      <c r="L697" s="618"/>
      <c r="M697" s="255"/>
      <c r="N697" s="256"/>
      <c r="O697" s="388"/>
      <c r="AA697" s="50"/>
      <c r="AD697" s="244"/>
      <c r="AE697" s="341" t="str">
        <f>IF(OR(AM697="",AM697=0,AJ697="",AG697=""),"",
(IF(AND(AF692=$P$4,AM697&lt;=$R$4),$V$4,0)+IF(AND(AF692=$P$5,AM697&lt;=$R$5),$V$5,0)+IF(AND(AF692=$P$6,AM697&lt;=$R$6),$V$6,0)+IF(AND(AF692=$P$7,AM697&lt;=$R$7),$V$7,0))
)</f>
        <v/>
      </c>
      <c r="AF697" s="153" t="s">
        <v>305</v>
      </c>
      <c r="AG697" s="598"/>
      <c r="AH697" s="599"/>
      <c r="AI697" s="600"/>
      <c r="AJ697" s="598"/>
      <c r="AK697" s="599"/>
      <c r="AL697" s="600"/>
      <c r="AM697" s="384"/>
      <c r="AN697" s="256"/>
      <c r="AO697" s="388"/>
    </row>
    <row r="698" spans="4:50" ht="15" customHeight="1" x14ac:dyDescent="0.3">
      <c r="D698" s="244"/>
      <c r="E698" s="341" t="str">
        <f>IF(OR(M698="",M698=0,J698="",G698=""),"",
(IF(AND(F692=$P$4,M698&lt;=$R$4),$V$4,0)+IF(AND(F692=$P$5,M698&lt;=$R$5),$V$5,0)+IF(AND(F692=$P$6,M698&lt;=$R$6),$V$6,0)+IF(AND(F692=$P$7,M698&lt;=$R$7),$V$7,0))
)</f>
        <v/>
      </c>
      <c r="F698" s="153" t="s">
        <v>306</v>
      </c>
      <c r="G698" s="616"/>
      <c r="H698" s="617"/>
      <c r="I698" s="618"/>
      <c r="J698" s="616"/>
      <c r="K698" s="617"/>
      <c r="L698" s="618"/>
      <c r="M698" s="255"/>
      <c r="N698" s="256"/>
      <c r="O698" s="388"/>
      <c r="AA698" s="50"/>
      <c r="AD698" s="244"/>
      <c r="AE698" s="341" t="str">
        <f>IF(OR(AM698="",AM698=0,AJ698="",AG698=""),"",
(IF(AND(AF692=$P$4,AM698&lt;=$R$4),$V$4,0)+IF(AND(AF692=$P$5,AM698&lt;=$R$5),$V$5,0)+IF(AND(AF692=$P$6,AM698&lt;=$R$6),$V$6,0)+IF(AND(AF692=$P$7,AM698&lt;=$R$7),$V$7,0))
)</f>
        <v/>
      </c>
      <c r="AF698" s="153" t="s">
        <v>306</v>
      </c>
      <c r="AG698" s="598"/>
      <c r="AH698" s="599"/>
      <c r="AI698" s="600"/>
      <c r="AJ698" s="598"/>
      <c r="AK698" s="599"/>
      <c r="AL698" s="600"/>
      <c r="AM698" s="384"/>
      <c r="AN698" s="256"/>
      <c r="AO698" s="388"/>
    </row>
    <row r="699" spans="4:50" x14ac:dyDescent="0.3">
      <c r="D699" s="244"/>
      <c r="E699" s="341" t="str">
        <f>IF(OR(M699="",M699=0,J699="",G699=""),"",
(IF(AND(F692=$P$4,M699&lt;=$R$4),$V$4,0)+IF(AND(F692=$P$5,M699&lt;=$R$5),$V$5,0)+IF(AND(F692=$P$6,M699&lt;=$R$6),$V$6,0)+IF(AND(F692=$P$7,M699&lt;=$R$7),$V$7,0))
)</f>
        <v/>
      </c>
      <c r="F699" s="153" t="s">
        <v>307</v>
      </c>
      <c r="G699" s="616"/>
      <c r="H699" s="617"/>
      <c r="I699" s="618"/>
      <c r="J699" s="616"/>
      <c r="K699" s="617"/>
      <c r="L699" s="618"/>
      <c r="M699" s="255"/>
      <c r="N699" s="256"/>
      <c r="O699" s="388"/>
      <c r="AA699" s="50"/>
      <c r="AD699" s="244"/>
      <c r="AE699" s="341" t="str">
        <f>IF(OR(AM699="",AM699=0,AJ699="",AG699=""),"",
(IF(AND(AF692=$P$4,AM699&lt;=$R$4),$V$4,0)+IF(AND(AF692=$P$5,AM699&lt;=$R$5),$V$5,0)+IF(AND(AF692=$P$6,AM699&lt;=$R$6),$V$6,0)+IF(AND(AF692=$P$7,AM699&lt;=$R$7),$V$7,0))
)</f>
        <v/>
      </c>
      <c r="AF699" s="153" t="s">
        <v>307</v>
      </c>
      <c r="AG699" s="598"/>
      <c r="AH699" s="599"/>
      <c r="AI699" s="600"/>
      <c r="AJ699" s="598"/>
      <c r="AK699" s="599"/>
      <c r="AL699" s="600"/>
      <c r="AM699" s="384"/>
      <c r="AN699" s="256"/>
      <c r="AO699" s="388"/>
    </row>
    <row r="700" spans="4:50" x14ac:dyDescent="0.3">
      <c r="D700" s="244"/>
      <c r="E700" s="341" t="str">
        <f>IF(OR(M700="",M700=0,J700="",G700=""),"",
(IF(AND(F692=$P$4,M700&lt;=$R$4),$V$4,0)+IF(AND(F692=$P$5,M700&lt;=$R$5),$V$5,0)+IF(AND(F692=$P$6,M700&lt;=$R$6),$V$6,0)+IF(AND(F692=$P$7,M700&lt;=$R$7),$V$7,0))
)</f>
        <v/>
      </c>
      <c r="F700" s="153" t="s">
        <v>308</v>
      </c>
      <c r="G700" s="616"/>
      <c r="H700" s="617"/>
      <c r="I700" s="618"/>
      <c r="J700" s="616"/>
      <c r="K700" s="617"/>
      <c r="L700" s="618"/>
      <c r="M700" s="255"/>
      <c r="N700" s="256"/>
      <c r="O700" s="388"/>
      <c r="AA700" s="50"/>
      <c r="AD700" s="244"/>
      <c r="AE700" s="341" t="str">
        <f>IF(OR(AM700="",AM700=0,AJ700="",AG700=""),"",
(IF(AND(AF692=$P$4,AM700&lt;=$R$4),$V$4,0)+IF(AND(AF692=$P$5,AM700&lt;=$R$5),$V$5,0)+IF(AND(AF692=$P$6,AM700&lt;=$R$6),$V$6,0)+IF(AND(AF692=$P$7,AM700&lt;=$R$7),$V$7,0))
)</f>
        <v/>
      </c>
      <c r="AF700" s="153" t="s">
        <v>308</v>
      </c>
      <c r="AG700" s="598"/>
      <c r="AH700" s="599"/>
      <c r="AI700" s="600"/>
      <c r="AJ700" s="598"/>
      <c r="AK700" s="599"/>
      <c r="AL700" s="600"/>
      <c r="AM700" s="384"/>
      <c r="AN700" s="256"/>
      <c r="AO700" s="388"/>
    </row>
    <row r="701" spans="4:50" ht="16.2" thickBot="1" x14ac:dyDescent="0.35">
      <c r="D701" s="203"/>
      <c r="E701" s="3"/>
      <c r="F701" s="3"/>
      <c r="G701" s="3"/>
      <c r="H701" s="3"/>
      <c r="I701" s="3"/>
      <c r="J701" s="3"/>
      <c r="K701" s="3"/>
      <c r="L701" s="3"/>
      <c r="M701" s="3"/>
      <c r="N701" s="204"/>
      <c r="P701" s="2"/>
      <c r="AA701" s="50"/>
      <c r="AD701" s="203"/>
      <c r="AE701" s="3"/>
      <c r="AF701" s="3"/>
      <c r="AG701" s="3"/>
      <c r="AH701" s="3"/>
      <c r="AI701" s="3"/>
      <c r="AJ701" s="3"/>
      <c r="AK701" s="3"/>
      <c r="AL701" s="3"/>
      <c r="AM701" s="3"/>
      <c r="AN701" s="204"/>
      <c r="AP701" s="2"/>
    </row>
    <row r="702" spans="4:50" x14ac:dyDescent="0.3">
      <c r="D702" s="601" t="str">
        <f>IF(
OR(
OR(F704=$P$4,F704=$P$5,F704=$P$6,F704=$P$7),AND(G706="",G707="",G708="",G709="",G710="",G711="",G712="",J706="",J707="",J708="",J709="",J710="",J711="",J712="",M706="",M707="",M708="",M709="",M710="",M711="",M712="",K703="",K704="")
),
"",
"A Set-Aside must be selected."
)</f>
        <v/>
      </c>
      <c r="E702" s="602"/>
      <c r="F702" s="602"/>
      <c r="G702" s="602"/>
      <c r="H702" s="602"/>
      <c r="I702" s="602"/>
      <c r="J702" s="602"/>
      <c r="K702" s="602"/>
      <c r="L702" s="602"/>
      <c r="M702" s="602"/>
      <c r="N702" s="603"/>
      <c r="O702" s="2"/>
      <c r="AA702" s="50"/>
      <c r="AD702" s="601" t="str">
        <f>IF(
OR(
OR(AF704=$P$4,AF704=$P$5,AF704=$P$6,AF704=$P$7),AND(AG706="",AG707="",AG708="",AG709="",AG710="",AG711="",AG712="",AJ706="",AJ707="",AJ708="",AJ709="",AJ710="",AJ711="",AJ712="",AM706="",AM707="",AM708="",AM709="",AM710="",AM711="",AM712="",AK703="",AK704="")
),
"",
"A Set-Aside must be selected."
)</f>
        <v/>
      </c>
      <c r="AE702" s="602"/>
      <c r="AF702" s="602"/>
      <c r="AG702" s="602"/>
      <c r="AH702" s="602"/>
      <c r="AI702" s="602"/>
      <c r="AJ702" s="602"/>
      <c r="AK702" s="602"/>
      <c r="AL702" s="602"/>
      <c r="AM702" s="602"/>
      <c r="AN702" s="603"/>
      <c r="AO702" s="2"/>
    </row>
    <row r="703" spans="4:50" ht="15.75" customHeight="1" x14ac:dyDescent="0.3">
      <c r="D703" s="199"/>
      <c r="E703" s="9" t="s">
        <v>30</v>
      </c>
      <c r="F703" s="86">
        <f>F691+1</f>
        <v>56</v>
      </c>
      <c r="G703" s="9" t="s">
        <v>175</v>
      </c>
      <c r="H703" s="9"/>
      <c r="I703" s="9"/>
      <c r="J703" s="168" t="s">
        <v>111</v>
      </c>
      <c r="K703" s="148"/>
      <c r="N703" s="200"/>
      <c r="R703" s="596" t="s">
        <v>302</v>
      </c>
      <c r="S703" s="596" t="s">
        <v>303</v>
      </c>
      <c r="T703" s="596" t="s">
        <v>304</v>
      </c>
      <c r="U703" s="596" t="s">
        <v>305</v>
      </c>
      <c r="V703" s="596" t="s">
        <v>306</v>
      </c>
      <c r="W703" s="596" t="s">
        <v>307</v>
      </c>
      <c r="X703" s="596" t="s">
        <v>308</v>
      </c>
      <c r="AA703" s="50"/>
      <c r="AD703" s="199"/>
      <c r="AE703" s="9" t="s">
        <v>30</v>
      </c>
      <c r="AF703" s="86">
        <f>AF691+1</f>
        <v>56</v>
      </c>
      <c r="AG703" s="9" t="s">
        <v>175</v>
      </c>
      <c r="AH703" s="9"/>
      <c r="AI703" s="9"/>
      <c r="AJ703" s="168" t="s">
        <v>111</v>
      </c>
      <c r="AK703" s="382"/>
      <c r="AN703" s="200"/>
      <c r="AR703" s="596" t="s">
        <v>302</v>
      </c>
      <c r="AS703" s="596" t="s">
        <v>303</v>
      </c>
      <c r="AT703" s="596" t="s">
        <v>304</v>
      </c>
      <c r="AU703" s="596" t="s">
        <v>305</v>
      </c>
      <c r="AV703" s="596" t="s">
        <v>306</v>
      </c>
      <c r="AW703" s="596" t="s">
        <v>307</v>
      </c>
      <c r="AX703" s="596" t="s">
        <v>308</v>
      </c>
    </row>
    <row r="704" spans="4:50" x14ac:dyDescent="0.3">
      <c r="D704" s="604" t="s">
        <v>31</v>
      </c>
      <c r="E704" s="594"/>
      <c r="F704" s="151"/>
      <c r="G704" s="86" t="str">
        <f>IF(F704=$P$4,$Q$4,IF(F704=$P$5,$Q$5,IF(F704=$P$6,$Q$6,IF(F704=$P$7,Q$7,IF(F704=$P$8,"","")))))</f>
        <v/>
      </c>
      <c r="H704" s="201"/>
      <c r="I704" s="201"/>
      <c r="J704" s="168" t="s">
        <v>112</v>
      </c>
      <c r="K704" s="148"/>
      <c r="N704" s="200"/>
      <c r="R704" s="596"/>
      <c r="S704" s="596"/>
      <c r="T704" s="596"/>
      <c r="U704" s="596"/>
      <c r="V704" s="596"/>
      <c r="W704" s="596"/>
      <c r="X704" s="596"/>
      <c r="AA704" s="50"/>
      <c r="AD704" s="604" t="s">
        <v>31</v>
      </c>
      <c r="AE704" s="594"/>
      <c r="AF704" s="383"/>
      <c r="AG704" s="86" t="str">
        <f>IF(AF704=$P$4,$Q$4,IF(AF704=$P$5,$Q$5,IF(AF704=$P$6,$Q$6,IF(AF704=$P$7,AQ$7,IF(AF704=$P$8,"","")))))</f>
        <v/>
      </c>
      <c r="AH704" s="201"/>
      <c r="AI704" s="201"/>
      <c r="AJ704" s="168" t="s">
        <v>112</v>
      </c>
      <c r="AK704" s="382"/>
      <c r="AN704" s="200"/>
      <c r="AR704" s="596"/>
      <c r="AS704" s="596"/>
      <c r="AT704" s="596"/>
      <c r="AU704" s="596"/>
      <c r="AV704" s="596"/>
      <c r="AW704" s="596"/>
      <c r="AX704" s="596"/>
    </row>
    <row r="705" spans="4:50" ht="15" customHeight="1" x14ac:dyDescent="0.3">
      <c r="D705" s="244"/>
      <c r="E705" s="230" t="s">
        <v>52</v>
      </c>
      <c r="F705" s="9" t="s">
        <v>32</v>
      </c>
      <c r="G705" s="9" t="s">
        <v>33</v>
      </c>
      <c r="H705" s="9"/>
      <c r="I705" s="9"/>
      <c r="J705" s="9" t="s">
        <v>34</v>
      </c>
      <c r="K705" s="9"/>
      <c r="L705" s="9"/>
      <c r="M705" s="257" t="s">
        <v>35</v>
      </c>
      <c r="N705" s="202"/>
      <c r="O705" s="9"/>
      <c r="P705" s="198" t="s">
        <v>22</v>
      </c>
      <c r="Q705" s="198"/>
      <c r="R705" s="596"/>
      <c r="S705" s="596"/>
      <c r="T705" s="596"/>
      <c r="U705" s="596"/>
      <c r="V705" s="596"/>
      <c r="W705" s="596"/>
      <c r="X705" s="596"/>
      <c r="AA705" s="50"/>
      <c r="AD705" s="244"/>
      <c r="AE705" s="230" t="s">
        <v>52</v>
      </c>
      <c r="AF705" s="9" t="s">
        <v>32</v>
      </c>
      <c r="AG705" s="9" t="s">
        <v>33</v>
      </c>
      <c r="AH705" s="9"/>
      <c r="AI705" s="9"/>
      <c r="AJ705" s="9" t="s">
        <v>34</v>
      </c>
      <c r="AK705" s="9"/>
      <c r="AL705" s="9"/>
      <c r="AM705" s="257" t="s">
        <v>35</v>
      </c>
      <c r="AN705" s="202"/>
      <c r="AO705" s="9"/>
      <c r="AP705" s="198" t="s">
        <v>22</v>
      </c>
      <c r="AQ705" s="198"/>
      <c r="AR705" s="596"/>
      <c r="AS705" s="596"/>
      <c r="AT705" s="596"/>
      <c r="AU705" s="596"/>
      <c r="AV705" s="596"/>
      <c r="AW705" s="596"/>
      <c r="AX705" s="596"/>
    </row>
    <row r="706" spans="4:50" ht="15" customHeight="1" x14ac:dyDescent="0.3">
      <c r="D706" s="244"/>
      <c r="E706" s="355" t="str">
        <f>IF(OR(M706="",M706=0,J706="",G706=""),"",
(IF(AND(F704=$P$4,M706&lt;=$R$4),$V$4,0)+IF(AND(F704=$P$5,M706&lt;=$R$5),$V$5,0)+IF(AND(F704=$P$6,M706&lt;=$R$6),$V$6,0)+IF(AND(F704=$P$7,M706&lt;=$R$7),$V$7,0))
)</f>
        <v/>
      </c>
      <c r="F706" s="153" t="s">
        <v>302</v>
      </c>
      <c r="G706" s="616"/>
      <c r="H706" s="617"/>
      <c r="I706" s="618"/>
      <c r="J706" s="616"/>
      <c r="K706" s="617"/>
      <c r="L706" s="618"/>
      <c r="M706" s="255"/>
      <c r="N706" s="256"/>
      <c r="O706" s="388"/>
      <c r="P706" s="185">
        <f t="shared" ref="P706" si="879">IF(F704="",0,1)</f>
        <v>0</v>
      </c>
      <c r="R706" s="185" t="str">
        <f t="shared" ref="R706" si="880">E706</f>
        <v/>
      </c>
      <c r="S706" s="185" t="str">
        <f t="shared" ref="S706" si="881">E707</f>
        <v/>
      </c>
      <c r="T706" s="185" t="str">
        <f t="shared" ref="T706" si="882">E708</f>
        <v/>
      </c>
      <c r="U706" s="185" t="str">
        <f t="shared" ref="U706" si="883">E709</f>
        <v/>
      </c>
      <c r="V706" s="185" t="str">
        <f t="shared" ref="V706" si="884">E710</f>
        <v/>
      </c>
      <c r="W706" s="185" t="str">
        <f t="shared" ref="W706" si="885">E711</f>
        <v/>
      </c>
      <c r="X706" s="185" t="str">
        <f t="shared" ref="X706" si="886">E712</f>
        <v/>
      </c>
      <c r="AA706" s="50"/>
      <c r="AD706" s="244"/>
      <c r="AE706" s="355" t="str">
        <f>IF(OR(AM706="",AM706=0,AJ706="",AG706=""),"",
(IF(AND(AF704=$P$4,AM706&lt;=$R$4),$V$4,0)+IF(AND(AF704=$P$5,AM706&lt;=$R$5),$V$5,0)+IF(AND(AF704=$P$6,AM706&lt;=$R$6),$V$6,0)+IF(AND(AF704=$P$7,AM706&lt;=$R$7),$V$7,0))
)</f>
        <v/>
      </c>
      <c r="AF706" s="153" t="s">
        <v>302</v>
      </c>
      <c r="AG706" s="598"/>
      <c r="AH706" s="599"/>
      <c r="AI706" s="600"/>
      <c r="AJ706" s="598"/>
      <c r="AK706" s="599"/>
      <c r="AL706" s="600"/>
      <c r="AM706" s="384"/>
      <c r="AN706" s="256"/>
      <c r="AO706" s="388"/>
      <c r="AP706" s="185">
        <f t="shared" ref="AP706" si="887">IF(AF704="",0,1)</f>
        <v>0</v>
      </c>
      <c r="AR706" s="185" t="str">
        <f t="shared" ref="AR706" si="888">AE706</f>
        <v/>
      </c>
      <c r="AS706" s="185" t="str">
        <f t="shared" ref="AS706" si="889">AE707</f>
        <v/>
      </c>
      <c r="AT706" s="185" t="str">
        <f t="shared" ref="AT706" si="890">AE708</f>
        <v/>
      </c>
      <c r="AU706" s="185" t="str">
        <f t="shared" ref="AU706" si="891">AE709</f>
        <v/>
      </c>
      <c r="AV706" s="185" t="str">
        <f t="shared" ref="AV706" si="892">AE710</f>
        <v/>
      </c>
      <c r="AW706" s="185" t="str">
        <f t="shared" ref="AW706" si="893">AE711</f>
        <v/>
      </c>
      <c r="AX706" s="185" t="str">
        <f t="shared" ref="AX706" si="894">AE712</f>
        <v/>
      </c>
    </row>
    <row r="707" spans="4:50" ht="15" customHeight="1" x14ac:dyDescent="0.3">
      <c r="D707" s="244"/>
      <c r="E707" s="341" t="str">
        <f>IF(OR(M707="",M707=0,J707="",G707=""),"",
(IF(AND(F704=$P$4,M707&lt;=$R$4),$V$4,0)+IF(AND(F704=$P$5,M707&lt;=$R$5),$V$5,0)+IF(AND(F704=$P$6,M707&lt;=$R$6),$V$6,0)+IF(AND(F704=$P$7,M707&lt;=$R$7),$V$7,0))
)</f>
        <v/>
      </c>
      <c r="F707" s="153" t="s">
        <v>303</v>
      </c>
      <c r="G707" s="616"/>
      <c r="H707" s="617"/>
      <c r="I707" s="618"/>
      <c r="J707" s="616"/>
      <c r="K707" s="617"/>
      <c r="L707" s="618"/>
      <c r="M707" s="255"/>
      <c r="N707" s="256"/>
      <c r="O707" s="388"/>
      <c r="AA707" s="50"/>
      <c r="AD707" s="244"/>
      <c r="AE707" s="341" t="str">
        <f>IF(OR(AM707="",AM707=0,AJ707="",AG707=""),"",
(IF(AND(AF704=$P$4,AM707&lt;=$R$4),$V$4,0)+IF(AND(AF704=$P$5,AM707&lt;=$R$5),$V$5,0)+IF(AND(AF704=$P$6,AM707&lt;=$R$6),$V$6,0)+IF(AND(AF704=$P$7,AM707&lt;=$R$7),$V$7,0))
)</f>
        <v/>
      </c>
      <c r="AF707" s="153" t="s">
        <v>303</v>
      </c>
      <c r="AG707" s="598"/>
      <c r="AH707" s="599"/>
      <c r="AI707" s="600"/>
      <c r="AJ707" s="598"/>
      <c r="AK707" s="599"/>
      <c r="AL707" s="600"/>
      <c r="AM707" s="384"/>
      <c r="AN707" s="256"/>
      <c r="AO707" s="388"/>
    </row>
    <row r="708" spans="4:50" ht="15" customHeight="1" x14ac:dyDescent="0.3">
      <c r="D708" s="244"/>
      <c r="E708" s="341" t="str">
        <f>IF(OR(M708="",M708=0,J708="",G708=""),"",
(IF(AND(F704=$P$4,M708&lt;=$R$4),$V$4,0)+IF(AND(F704=$P$5,M708&lt;=$R$5),$V$5,0)+IF(AND(F704=$P$6,M708&lt;=$R$6),$V$6,0)+IF(AND(F704=$P$7,M708&lt;=$R$7),$V$7,0))
)</f>
        <v/>
      </c>
      <c r="F708" s="153" t="s">
        <v>304</v>
      </c>
      <c r="G708" s="616"/>
      <c r="H708" s="617"/>
      <c r="I708" s="618"/>
      <c r="J708" s="616"/>
      <c r="K708" s="617"/>
      <c r="L708" s="618"/>
      <c r="M708" s="255"/>
      <c r="N708" s="256"/>
      <c r="O708" s="388"/>
      <c r="AA708" s="50"/>
      <c r="AD708" s="244"/>
      <c r="AE708" s="341" t="str">
        <f>IF(OR(AM708="",AM708=0,AJ708="",AG708=""),"",
(IF(AND(AF704=$P$4,AM708&lt;=$R$4),$V$4,0)+IF(AND(AF704=$P$5,AM708&lt;=$R$5),$V$5,0)+IF(AND(AF704=$P$6,AM708&lt;=$R$6),$V$6,0)+IF(AND(AF704=$P$7,AM708&lt;=$R$7),$V$7,0))
)</f>
        <v/>
      </c>
      <c r="AF708" s="153" t="s">
        <v>304</v>
      </c>
      <c r="AG708" s="598"/>
      <c r="AH708" s="599"/>
      <c r="AI708" s="600"/>
      <c r="AJ708" s="598"/>
      <c r="AK708" s="599"/>
      <c r="AL708" s="600"/>
      <c r="AM708" s="384"/>
      <c r="AN708" s="256"/>
      <c r="AO708" s="388"/>
    </row>
    <row r="709" spans="4:50" ht="15" customHeight="1" x14ac:dyDescent="0.3">
      <c r="D709" s="244"/>
      <c r="E709" s="341" t="str">
        <f>IF(OR(M709="",M709=0,J709="",G709=""),"",
(IF(AND(F704=$P$4,M709&lt;=$R$4),$V$4,0)+IF(AND(F704=$P$5,M709&lt;=$R$5),$V$5,0)+IF(AND(F704=$P$6,M709&lt;=$R$6),$V$6,0)+IF(AND(F704=$P$7,M709&lt;=$R$7),$V$7,0))
)</f>
        <v/>
      </c>
      <c r="F709" s="153" t="s">
        <v>305</v>
      </c>
      <c r="G709" s="616"/>
      <c r="H709" s="617"/>
      <c r="I709" s="618"/>
      <c r="J709" s="616"/>
      <c r="K709" s="617"/>
      <c r="L709" s="618"/>
      <c r="M709" s="255"/>
      <c r="N709" s="256"/>
      <c r="O709" s="388"/>
      <c r="AA709" s="50"/>
      <c r="AD709" s="244"/>
      <c r="AE709" s="341" t="str">
        <f>IF(OR(AM709="",AM709=0,AJ709="",AG709=""),"",
(IF(AND(AF704=$P$4,AM709&lt;=$R$4),$V$4,0)+IF(AND(AF704=$P$5,AM709&lt;=$R$5),$V$5,0)+IF(AND(AF704=$P$6,AM709&lt;=$R$6),$V$6,0)+IF(AND(AF704=$P$7,AM709&lt;=$R$7),$V$7,0))
)</f>
        <v/>
      </c>
      <c r="AF709" s="153" t="s">
        <v>305</v>
      </c>
      <c r="AG709" s="598"/>
      <c r="AH709" s="599"/>
      <c r="AI709" s="600"/>
      <c r="AJ709" s="598"/>
      <c r="AK709" s="599"/>
      <c r="AL709" s="600"/>
      <c r="AM709" s="384"/>
      <c r="AN709" s="256"/>
      <c r="AO709" s="388"/>
    </row>
    <row r="710" spans="4:50" x14ac:dyDescent="0.3">
      <c r="D710" s="244"/>
      <c r="E710" s="341" t="str">
        <f>IF(OR(M710="",M710=0,J710="",G710=""),"",
(IF(AND(F704=$P$4,M710&lt;=$R$4),$V$4,0)+IF(AND(F704=$P$5,M710&lt;=$R$5),$V$5,0)+IF(AND(F704=$P$6,M710&lt;=$R$6),$V$6,0)+IF(AND(F704=$P$7,M710&lt;=$R$7),$V$7,0))
)</f>
        <v/>
      </c>
      <c r="F710" s="153" t="s">
        <v>306</v>
      </c>
      <c r="G710" s="616"/>
      <c r="H710" s="617"/>
      <c r="I710" s="618"/>
      <c r="J710" s="616"/>
      <c r="K710" s="617"/>
      <c r="L710" s="618"/>
      <c r="M710" s="255"/>
      <c r="N710" s="256"/>
      <c r="O710" s="388"/>
      <c r="AA710" s="50"/>
      <c r="AD710" s="244"/>
      <c r="AE710" s="341" t="str">
        <f>IF(OR(AM710="",AM710=0,AJ710="",AG710=""),"",
(IF(AND(AF704=$P$4,AM710&lt;=$R$4),$V$4,0)+IF(AND(AF704=$P$5,AM710&lt;=$R$5),$V$5,0)+IF(AND(AF704=$P$6,AM710&lt;=$R$6),$V$6,0)+IF(AND(AF704=$P$7,AM710&lt;=$R$7),$V$7,0))
)</f>
        <v/>
      </c>
      <c r="AF710" s="153" t="s">
        <v>306</v>
      </c>
      <c r="AG710" s="598"/>
      <c r="AH710" s="599"/>
      <c r="AI710" s="600"/>
      <c r="AJ710" s="598"/>
      <c r="AK710" s="599"/>
      <c r="AL710" s="600"/>
      <c r="AM710" s="384"/>
      <c r="AN710" s="256"/>
      <c r="AO710" s="388"/>
    </row>
    <row r="711" spans="4:50" x14ac:dyDescent="0.3">
      <c r="D711" s="244"/>
      <c r="E711" s="341" t="str">
        <f>IF(OR(M711="",M711=0,J711="",G711=""),"",
(IF(AND(F704=$P$4,M711&lt;=$R$4),$V$4,0)+IF(AND(F704=$P$5,M711&lt;=$R$5),$V$5,0)+IF(AND(F704=$P$6,M711&lt;=$R$6),$V$6,0)+IF(AND(F704=$P$7,M711&lt;=$R$7),$V$7,0))
)</f>
        <v/>
      </c>
      <c r="F711" s="153" t="s">
        <v>307</v>
      </c>
      <c r="G711" s="616"/>
      <c r="H711" s="617"/>
      <c r="I711" s="618"/>
      <c r="J711" s="616"/>
      <c r="K711" s="617"/>
      <c r="L711" s="618"/>
      <c r="M711" s="255"/>
      <c r="N711" s="256"/>
      <c r="O711" s="388"/>
      <c r="AA711" s="50"/>
      <c r="AD711" s="244"/>
      <c r="AE711" s="341" t="str">
        <f>IF(OR(AM711="",AM711=0,AJ711="",AG711=""),"",
(IF(AND(AF704=$P$4,AM711&lt;=$R$4),$V$4,0)+IF(AND(AF704=$P$5,AM711&lt;=$R$5),$V$5,0)+IF(AND(AF704=$P$6,AM711&lt;=$R$6),$V$6,0)+IF(AND(AF704=$P$7,AM711&lt;=$R$7),$V$7,0))
)</f>
        <v/>
      </c>
      <c r="AF711" s="153" t="s">
        <v>307</v>
      </c>
      <c r="AG711" s="598"/>
      <c r="AH711" s="599"/>
      <c r="AI711" s="600"/>
      <c r="AJ711" s="598"/>
      <c r="AK711" s="599"/>
      <c r="AL711" s="600"/>
      <c r="AM711" s="384"/>
      <c r="AN711" s="256"/>
      <c r="AO711" s="388"/>
    </row>
    <row r="712" spans="4:50" x14ac:dyDescent="0.3">
      <c r="D712" s="244"/>
      <c r="E712" s="341" t="str">
        <f>IF(OR(M712="",M712=0,J712="",G712=""),"",
(IF(AND(F704=$P$4,M712&lt;=$R$4),$V$4,0)+IF(AND(F704=$P$5,M712&lt;=$R$5),$V$5,0)+IF(AND(F704=$P$6,M712&lt;=$R$6),$V$6,0)+IF(AND(F704=$P$7,M712&lt;=$R$7),$V$7,0))
)</f>
        <v/>
      </c>
      <c r="F712" s="153" t="s">
        <v>308</v>
      </c>
      <c r="G712" s="616"/>
      <c r="H712" s="617"/>
      <c r="I712" s="618"/>
      <c r="J712" s="616"/>
      <c r="K712" s="617"/>
      <c r="L712" s="618"/>
      <c r="M712" s="255"/>
      <c r="N712" s="256"/>
      <c r="O712" s="388"/>
      <c r="AA712" s="50"/>
      <c r="AD712" s="244"/>
      <c r="AE712" s="341" t="str">
        <f>IF(OR(AM712="",AM712=0,AJ712="",AG712=""),"",
(IF(AND(AF704=$P$4,AM712&lt;=$R$4),$V$4,0)+IF(AND(AF704=$P$5,AM712&lt;=$R$5),$V$5,0)+IF(AND(AF704=$P$6,AM712&lt;=$R$6),$V$6,0)+IF(AND(AF704=$P$7,AM712&lt;=$R$7),$V$7,0))
)</f>
        <v/>
      </c>
      <c r="AF712" s="153" t="s">
        <v>308</v>
      </c>
      <c r="AG712" s="598"/>
      <c r="AH712" s="599"/>
      <c r="AI712" s="600"/>
      <c r="AJ712" s="598"/>
      <c r="AK712" s="599"/>
      <c r="AL712" s="600"/>
      <c r="AM712" s="384"/>
      <c r="AN712" s="256"/>
      <c r="AO712" s="388"/>
    </row>
    <row r="713" spans="4:50" ht="16.2" thickBot="1" x14ac:dyDescent="0.35">
      <c r="D713" s="203"/>
      <c r="E713" s="3"/>
      <c r="F713" s="3"/>
      <c r="G713" s="3"/>
      <c r="H713" s="3"/>
      <c r="I713" s="3"/>
      <c r="J713" s="3"/>
      <c r="K713" s="3"/>
      <c r="L713" s="3"/>
      <c r="M713" s="3"/>
      <c r="N713" s="204"/>
      <c r="P713" s="2"/>
      <c r="AA713" s="50"/>
      <c r="AD713" s="203"/>
      <c r="AE713" s="3"/>
      <c r="AF713" s="3"/>
      <c r="AG713" s="3"/>
      <c r="AH713" s="3"/>
      <c r="AI713" s="3"/>
      <c r="AJ713" s="3"/>
      <c r="AK713" s="3"/>
      <c r="AL713" s="3"/>
      <c r="AM713" s="3"/>
      <c r="AN713" s="204"/>
      <c r="AP713" s="2"/>
    </row>
    <row r="714" spans="4:50" ht="15.75" customHeight="1" x14ac:dyDescent="0.3">
      <c r="D714" s="601" t="str">
        <f>IF(
OR(
OR(F716=$P$4,F716=$P$5,F716=$P$6,F716=$P$7),AND(G718="",G719="",G720="",G721="",G722="",G723="",G724="",J718="",J719="",J720="",J721="",J722="",J723="",J724="",M718="",M719="",M720="",M721="",M722="",M723="",M724="",K715="",K716="")
),
"",
"A Set-Aside must be selected."
)</f>
        <v/>
      </c>
      <c r="E714" s="602"/>
      <c r="F714" s="602"/>
      <c r="G714" s="602"/>
      <c r="H714" s="602"/>
      <c r="I714" s="602"/>
      <c r="J714" s="602"/>
      <c r="K714" s="602"/>
      <c r="L714" s="602"/>
      <c r="M714" s="602"/>
      <c r="N714" s="603"/>
      <c r="O714" s="2"/>
      <c r="AA714" s="50"/>
      <c r="AD714" s="601" t="str">
        <f>IF(
OR(
OR(AF716=$P$4,AF716=$P$5,AF716=$P$6,AF716=$P$7),AND(AG718="",AG719="",AG720="",AG721="",AG722="",AG723="",AG724="",AJ718="",AJ719="",AJ720="",AJ721="",AJ722="",AJ723="",AJ724="",AM718="",AM719="",AM720="",AM721="",AM722="",AM723="",AM724="",AK715="",AK716="")
),
"",
"A Set-Aside must be selected."
)</f>
        <v/>
      </c>
      <c r="AE714" s="602"/>
      <c r="AF714" s="602"/>
      <c r="AG714" s="602"/>
      <c r="AH714" s="602"/>
      <c r="AI714" s="602"/>
      <c r="AJ714" s="602"/>
      <c r="AK714" s="602"/>
      <c r="AL714" s="602"/>
      <c r="AM714" s="602"/>
      <c r="AN714" s="603"/>
      <c r="AO714" s="2"/>
    </row>
    <row r="715" spans="4:50" ht="15.75" customHeight="1" x14ac:dyDescent="0.3">
      <c r="D715" s="199"/>
      <c r="E715" s="9" t="s">
        <v>30</v>
      </c>
      <c r="F715" s="86">
        <f>F703+1</f>
        <v>57</v>
      </c>
      <c r="G715" s="9" t="s">
        <v>175</v>
      </c>
      <c r="H715" s="9"/>
      <c r="I715" s="9"/>
      <c r="J715" s="168" t="s">
        <v>111</v>
      </c>
      <c r="K715" s="148"/>
      <c r="N715" s="200"/>
      <c r="R715" s="596" t="s">
        <v>302</v>
      </c>
      <c r="S715" s="596" t="s">
        <v>303</v>
      </c>
      <c r="T715" s="596" t="s">
        <v>304</v>
      </c>
      <c r="U715" s="596" t="s">
        <v>305</v>
      </c>
      <c r="V715" s="596" t="s">
        <v>306</v>
      </c>
      <c r="W715" s="596" t="s">
        <v>307</v>
      </c>
      <c r="X715" s="596" t="s">
        <v>308</v>
      </c>
      <c r="AA715" s="50"/>
      <c r="AD715" s="199"/>
      <c r="AE715" s="9" t="s">
        <v>30</v>
      </c>
      <c r="AF715" s="86">
        <f>AF703+1</f>
        <v>57</v>
      </c>
      <c r="AG715" s="9" t="s">
        <v>175</v>
      </c>
      <c r="AH715" s="9"/>
      <c r="AI715" s="9"/>
      <c r="AJ715" s="168" t="s">
        <v>111</v>
      </c>
      <c r="AK715" s="382"/>
      <c r="AN715" s="200"/>
      <c r="AR715" s="596" t="s">
        <v>302</v>
      </c>
      <c r="AS715" s="596" t="s">
        <v>303</v>
      </c>
      <c r="AT715" s="596" t="s">
        <v>304</v>
      </c>
      <c r="AU715" s="596" t="s">
        <v>305</v>
      </c>
      <c r="AV715" s="596" t="s">
        <v>306</v>
      </c>
      <c r="AW715" s="596" t="s">
        <v>307</v>
      </c>
      <c r="AX715" s="596" t="s">
        <v>308</v>
      </c>
    </row>
    <row r="716" spans="4:50" ht="15" customHeight="1" x14ac:dyDescent="0.3">
      <c r="D716" s="604" t="s">
        <v>31</v>
      </c>
      <c r="E716" s="594"/>
      <c r="F716" s="151"/>
      <c r="G716" s="86" t="str">
        <f>IF(F716=$P$4,$Q$4,IF(F716=$P$5,$Q$5,IF(F716=$P$6,$Q$6,IF(F716=$P$7,Q$7,IF(F716=$P$8,"","")))))</f>
        <v/>
      </c>
      <c r="H716" s="201"/>
      <c r="I716" s="201"/>
      <c r="J716" s="168" t="s">
        <v>112</v>
      </c>
      <c r="K716" s="148"/>
      <c r="N716" s="200"/>
      <c r="R716" s="596"/>
      <c r="S716" s="596"/>
      <c r="T716" s="596"/>
      <c r="U716" s="596"/>
      <c r="V716" s="596"/>
      <c r="W716" s="596"/>
      <c r="X716" s="596"/>
      <c r="AA716" s="50"/>
      <c r="AD716" s="604" t="s">
        <v>31</v>
      </c>
      <c r="AE716" s="594"/>
      <c r="AF716" s="383"/>
      <c r="AG716" s="86" t="str">
        <f>IF(AF716=$P$4,$Q$4,IF(AF716=$P$5,$Q$5,IF(AF716=$P$6,$Q$6,IF(AF716=$P$7,AQ$7,IF(AF716=$P$8,"","")))))</f>
        <v/>
      </c>
      <c r="AH716" s="201"/>
      <c r="AI716" s="201"/>
      <c r="AJ716" s="168" t="s">
        <v>112</v>
      </c>
      <c r="AK716" s="382"/>
      <c r="AN716" s="200"/>
      <c r="AR716" s="596"/>
      <c r="AS716" s="596"/>
      <c r="AT716" s="596"/>
      <c r="AU716" s="596"/>
      <c r="AV716" s="596"/>
      <c r="AW716" s="596"/>
      <c r="AX716" s="596"/>
    </row>
    <row r="717" spans="4:50" ht="15" customHeight="1" x14ac:dyDescent="0.3">
      <c r="D717" s="244"/>
      <c r="E717" s="230" t="s">
        <v>52</v>
      </c>
      <c r="F717" s="9" t="s">
        <v>32</v>
      </c>
      <c r="G717" s="9" t="s">
        <v>33</v>
      </c>
      <c r="H717" s="9"/>
      <c r="I717" s="9"/>
      <c r="J717" s="9" t="s">
        <v>34</v>
      </c>
      <c r="K717" s="9"/>
      <c r="L717" s="9"/>
      <c r="M717" s="257" t="s">
        <v>35</v>
      </c>
      <c r="N717" s="202"/>
      <c r="O717" s="9"/>
      <c r="P717" s="198" t="s">
        <v>22</v>
      </c>
      <c r="Q717" s="198"/>
      <c r="R717" s="596"/>
      <c r="S717" s="596"/>
      <c r="T717" s="596"/>
      <c r="U717" s="596"/>
      <c r="V717" s="596"/>
      <c r="W717" s="596"/>
      <c r="X717" s="596"/>
      <c r="AA717" s="50"/>
      <c r="AD717" s="244"/>
      <c r="AE717" s="230" t="s">
        <v>52</v>
      </c>
      <c r="AF717" s="9" t="s">
        <v>32</v>
      </c>
      <c r="AG717" s="9" t="s">
        <v>33</v>
      </c>
      <c r="AH717" s="9"/>
      <c r="AI717" s="9"/>
      <c r="AJ717" s="9" t="s">
        <v>34</v>
      </c>
      <c r="AK717" s="9"/>
      <c r="AL717" s="9"/>
      <c r="AM717" s="257" t="s">
        <v>35</v>
      </c>
      <c r="AN717" s="202"/>
      <c r="AO717" s="9"/>
      <c r="AP717" s="198" t="s">
        <v>22</v>
      </c>
      <c r="AQ717" s="198"/>
      <c r="AR717" s="596"/>
      <c r="AS717" s="596"/>
      <c r="AT717" s="596"/>
      <c r="AU717" s="596"/>
      <c r="AV717" s="596"/>
      <c r="AW717" s="596"/>
      <c r="AX717" s="596"/>
    </row>
    <row r="718" spans="4:50" ht="15" customHeight="1" x14ac:dyDescent="0.3">
      <c r="D718" s="244"/>
      <c r="E718" s="355" t="str">
        <f>IF(OR(M718="",M718=0,J718="",G718=""),"",
(IF(AND(F716=$P$4,M718&lt;=$R$4),$V$4,0)+IF(AND(F716=$P$5,M718&lt;=$R$5),$V$5,0)+IF(AND(F716=$P$6,M718&lt;=$R$6),$V$6,0)+IF(AND(F716=$P$7,M718&lt;=$R$7),$V$7,0))
)</f>
        <v/>
      </c>
      <c r="F718" s="153" t="s">
        <v>302</v>
      </c>
      <c r="G718" s="616"/>
      <c r="H718" s="617"/>
      <c r="I718" s="618"/>
      <c r="J718" s="616"/>
      <c r="K718" s="617"/>
      <c r="L718" s="618"/>
      <c r="M718" s="255"/>
      <c r="N718" s="256"/>
      <c r="O718" s="388"/>
      <c r="P718" s="185">
        <f t="shared" ref="P718" si="895">IF(F716="",0,1)</f>
        <v>0</v>
      </c>
      <c r="R718" s="185" t="str">
        <f t="shared" ref="R718" si="896">E718</f>
        <v/>
      </c>
      <c r="S718" s="185" t="str">
        <f t="shared" ref="S718" si="897">E719</f>
        <v/>
      </c>
      <c r="T718" s="185" t="str">
        <f t="shared" ref="T718" si="898">E720</f>
        <v/>
      </c>
      <c r="U718" s="185" t="str">
        <f t="shared" ref="U718" si="899">E721</f>
        <v/>
      </c>
      <c r="V718" s="185" t="str">
        <f t="shared" ref="V718" si="900">E722</f>
        <v/>
      </c>
      <c r="W718" s="185" t="str">
        <f t="shared" ref="W718" si="901">E723</f>
        <v/>
      </c>
      <c r="X718" s="185" t="str">
        <f t="shared" ref="X718" si="902">E724</f>
        <v/>
      </c>
      <c r="AA718" s="50"/>
      <c r="AD718" s="244"/>
      <c r="AE718" s="355" t="str">
        <f>IF(OR(AM718="",AM718=0,AJ718="",AG718=""),"",
(IF(AND(AF716=$P$4,AM718&lt;=$R$4),$V$4,0)+IF(AND(AF716=$P$5,AM718&lt;=$R$5),$V$5,0)+IF(AND(AF716=$P$6,AM718&lt;=$R$6),$V$6,0)+IF(AND(AF716=$P$7,AM718&lt;=$R$7),$V$7,0))
)</f>
        <v/>
      </c>
      <c r="AF718" s="153" t="s">
        <v>302</v>
      </c>
      <c r="AG718" s="598"/>
      <c r="AH718" s="599"/>
      <c r="AI718" s="600"/>
      <c r="AJ718" s="598"/>
      <c r="AK718" s="599"/>
      <c r="AL718" s="600"/>
      <c r="AM718" s="384"/>
      <c r="AN718" s="256"/>
      <c r="AO718" s="388"/>
      <c r="AP718" s="185">
        <f t="shared" ref="AP718" si="903">IF(AF716="",0,1)</f>
        <v>0</v>
      </c>
      <c r="AR718" s="185" t="str">
        <f t="shared" ref="AR718" si="904">AE718</f>
        <v/>
      </c>
      <c r="AS718" s="185" t="str">
        <f t="shared" ref="AS718" si="905">AE719</f>
        <v/>
      </c>
      <c r="AT718" s="185" t="str">
        <f t="shared" ref="AT718" si="906">AE720</f>
        <v/>
      </c>
      <c r="AU718" s="185" t="str">
        <f t="shared" ref="AU718" si="907">AE721</f>
        <v/>
      </c>
      <c r="AV718" s="185" t="str">
        <f t="shared" ref="AV718" si="908">AE722</f>
        <v/>
      </c>
      <c r="AW718" s="185" t="str">
        <f t="shared" ref="AW718" si="909">AE723</f>
        <v/>
      </c>
      <c r="AX718" s="185" t="str">
        <f t="shared" ref="AX718" si="910">AE724</f>
        <v/>
      </c>
    </row>
    <row r="719" spans="4:50" ht="15" customHeight="1" x14ac:dyDescent="0.3">
      <c r="D719" s="244"/>
      <c r="E719" s="341" t="str">
        <f>IF(OR(M719="",M719=0,J719="",G719=""),"",
(IF(AND(F716=$P$4,M719&lt;=$R$4),$V$4,0)+IF(AND(F716=$P$5,M719&lt;=$R$5),$V$5,0)+IF(AND(F716=$P$6,M719&lt;=$R$6),$V$6,0)+IF(AND(F716=$P$7,M719&lt;=$R$7),$V$7,0))
)</f>
        <v/>
      </c>
      <c r="F719" s="153" t="s">
        <v>303</v>
      </c>
      <c r="G719" s="616"/>
      <c r="H719" s="617"/>
      <c r="I719" s="618"/>
      <c r="J719" s="616"/>
      <c r="K719" s="617"/>
      <c r="L719" s="618"/>
      <c r="M719" s="255"/>
      <c r="N719" s="256"/>
      <c r="O719" s="388"/>
      <c r="AA719" s="50"/>
      <c r="AD719" s="244"/>
      <c r="AE719" s="341" t="str">
        <f>IF(OR(AM719="",AM719=0,AJ719="",AG719=""),"",
(IF(AND(AF716=$P$4,AM719&lt;=$R$4),$V$4,0)+IF(AND(AF716=$P$5,AM719&lt;=$R$5),$V$5,0)+IF(AND(AF716=$P$6,AM719&lt;=$R$6),$V$6,0)+IF(AND(AF716=$P$7,AM719&lt;=$R$7),$V$7,0))
)</f>
        <v/>
      </c>
      <c r="AF719" s="153" t="s">
        <v>303</v>
      </c>
      <c r="AG719" s="598"/>
      <c r="AH719" s="599"/>
      <c r="AI719" s="600"/>
      <c r="AJ719" s="598"/>
      <c r="AK719" s="599"/>
      <c r="AL719" s="600"/>
      <c r="AM719" s="384"/>
      <c r="AN719" s="256"/>
      <c r="AO719" s="388"/>
    </row>
    <row r="720" spans="4:50" ht="15" customHeight="1" x14ac:dyDescent="0.3">
      <c r="D720" s="244"/>
      <c r="E720" s="341" t="str">
        <f>IF(OR(M720="",M720=0,J720="",G720=""),"",
(IF(AND(F716=$P$4,M720&lt;=$R$4),$V$4,0)+IF(AND(F716=$P$5,M720&lt;=$R$5),$V$5,0)+IF(AND(F716=$P$6,M720&lt;=$R$6),$V$6,0)+IF(AND(F716=$P$7,M720&lt;=$R$7),$V$7,0))
)</f>
        <v/>
      </c>
      <c r="F720" s="153" t="s">
        <v>304</v>
      </c>
      <c r="G720" s="616"/>
      <c r="H720" s="617"/>
      <c r="I720" s="618"/>
      <c r="J720" s="616"/>
      <c r="K720" s="617"/>
      <c r="L720" s="618"/>
      <c r="M720" s="255"/>
      <c r="N720" s="256"/>
      <c r="O720" s="388"/>
      <c r="AA720" s="50"/>
      <c r="AD720" s="244"/>
      <c r="AE720" s="341" t="str">
        <f>IF(OR(AM720="",AM720=0,AJ720="",AG720=""),"",
(IF(AND(AF716=$P$4,AM720&lt;=$R$4),$V$4,0)+IF(AND(AF716=$P$5,AM720&lt;=$R$5),$V$5,0)+IF(AND(AF716=$P$6,AM720&lt;=$R$6),$V$6,0)+IF(AND(AF716=$P$7,AM720&lt;=$R$7),$V$7,0))
)</f>
        <v/>
      </c>
      <c r="AF720" s="153" t="s">
        <v>304</v>
      </c>
      <c r="AG720" s="598"/>
      <c r="AH720" s="599"/>
      <c r="AI720" s="600"/>
      <c r="AJ720" s="598"/>
      <c r="AK720" s="599"/>
      <c r="AL720" s="600"/>
      <c r="AM720" s="384"/>
      <c r="AN720" s="256"/>
      <c r="AO720" s="388"/>
    </row>
    <row r="721" spans="4:50" x14ac:dyDescent="0.3">
      <c r="D721" s="244"/>
      <c r="E721" s="341" t="str">
        <f>IF(OR(M721="",M721=0,J721="",G721=""),"",
(IF(AND(F716=$P$4,M721&lt;=$R$4),$V$4,0)+IF(AND(F716=$P$5,M721&lt;=$R$5),$V$5,0)+IF(AND(F716=$P$6,M721&lt;=$R$6),$V$6,0)+IF(AND(F716=$P$7,M721&lt;=$R$7),$V$7,0))
)</f>
        <v/>
      </c>
      <c r="F721" s="153" t="s">
        <v>305</v>
      </c>
      <c r="G721" s="616"/>
      <c r="H721" s="617"/>
      <c r="I721" s="618"/>
      <c r="J721" s="616"/>
      <c r="K721" s="617"/>
      <c r="L721" s="618"/>
      <c r="M721" s="255"/>
      <c r="N721" s="256"/>
      <c r="O721" s="388"/>
      <c r="AA721" s="50"/>
      <c r="AD721" s="244"/>
      <c r="AE721" s="341" t="str">
        <f>IF(OR(AM721="",AM721=0,AJ721="",AG721=""),"",
(IF(AND(AF716=$P$4,AM721&lt;=$R$4),$V$4,0)+IF(AND(AF716=$P$5,AM721&lt;=$R$5),$V$5,0)+IF(AND(AF716=$P$6,AM721&lt;=$R$6),$V$6,0)+IF(AND(AF716=$P$7,AM721&lt;=$R$7),$V$7,0))
)</f>
        <v/>
      </c>
      <c r="AF721" s="153" t="s">
        <v>305</v>
      </c>
      <c r="AG721" s="598"/>
      <c r="AH721" s="599"/>
      <c r="AI721" s="600"/>
      <c r="AJ721" s="598"/>
      <c r="AK721" s="599"/>
      <c r="AL721" s="600"/>
      <c r="AM721" s="384"/>
      <c r="AN721" s="256"/>
      <c r="AO721" s="388"/>
    </row>
    <row r="722" spans="4:50" x14ac:dyDescent="0.3">
      <c r="D722" s="244"/>
      <c r="E722" s="341" t="str">
        <f>IF(OR(M722="",M722=0,J722="",G722=""),"",
(IF(AND(F716=$P$4,M722&lt;=$R$4),$V$4,0)+IF(AND(F716=$P$5,M722&lt;=$R$5),$V$5,0)+IF(AND(F716=$P$6,M722&lt;=$R$6),$V$6,0)+IF(AND(F716=$P$7,M722&lt;=$R$7),$V$7,0))
)</f>
        <v/>
      </c>
      <c r="F722" s="153" t="s">
        <v>306</v>
      </c>
      <c r="G722" s="616"/>
      <c r="H722" s="617"/>
      <c r="I722" s="618"/>
      <c r="J722" s="616"/>
      <c r="K722" s="617"/>
      <c r="L722" s="618"/>
      <c r="M722" s="255"/>
      <c r="N722" s="256"/>
      <c r="O722" s="388"/>
      <c r="AA722" s="50"/>
      <c r="AD722" s="244"/>
      <c r="AE722" s="341" t="str">
        <f>IF(OR(AM722="",AM722=0,AJ722="",AG722=""),"",
(IF(AND(AF716=$P$4,AM722&lt;=$R$4),$V$4,0)+IF(AND(AF716=$P$5,AM722&lt;=$R$5),$V$5,0)+IF(AND(AF716=$P$6,AM722&lt;=$R$6),$V$6,0)+IF(AND(AF716=$P$7,AM722&lt;=$R$7),$V$7,0))
)</f>
        <v/>
      </c>
      <c r="AF722" s="153" t="s">
        <v>306</v>
      </c>
      <c r="AG722" s="598"/>
      <c r="AH722" s="599"/>
      <c r="AI722" s="600"/>
      <c r="AJ722" s="598"/>
      <c r="AK722" s="599"/>
      <c r="AL722" s="600"/>
      <c r="AM722" s="384"/>
      <c r="AN722" s="256"/>
      <c r="AO722" s="388"/>
    </row>
    <row r="723" spans="4:50" x14ac:dyDescent="0.3">
      <c r="D723" s="244"/>
      <c r="E723" s="341" t="str">
        <f>IF(OR(M723="",M723=0,J723="",G723=""),"",
(IF(AND(F716=$P$4,M723&lt;=$R$4),$V$4,0)+IF(AND(F716=$P$5,M723&lt;=$R$5),$V$5,0)+IF(AND(F716=$P$6,M723&lt;=$R$6),$V$6,0)+IF(AND(F716=$P$7,M723&lt;=$R$7),$V$7,0))
)</f>
        <v/>
      </c>
      <c r="F723" s="153" t="s">
        <v>307</v>
      </c>
      <c r="G723" s="616"/>
      <c r="H723" s="617"/>
      <c r="I723" s="618"/>
      <c r="J723" s="616"/>
      <c r="K723" s="617"/>
      <c r="L723" s="618"/>
      <c r="M723" s="255"/>
      <c r="N723" s="256"/>
      <c r="O723" s="388"/>
      <c r="AA723" s="50"/>
      <c r="AD723" s="244"/>
      <c r="AE723" s="341" t="str">
        <f>IF(OR(AM723="",AM723=0,AJ723="",AG723=""),"",
(IF(AND(AF716=$P$4,AM723&lt;=$R$4),$V$4,0)+IF(AND(AF716=$P$5,AM723&lt;=$R$5),$V$5,0)+IF(AND(AF716=$P$6,AM723&lt;=$R$6),$V$6,0)+IF(AND(AF716=$P$7,AM723&lt;=$R$7),$V$7,0))
)</f>
        <v/>
      </c>
      <c r="AF723" s="153" t="s">
        <v>307</v>
      </c>
      <c r="AG723" s="598"/>
      <c r="AH723" s="599"/>
      <c r="AI723" s="600"/>
      <c r="AJ723" s="598"/>
      <c r="AK723" s="599"/>
      <c r="AL723" s="600"/>
      <c r="AM723" s="384"/>
      <c r="AN723" s="256"/>
      <c r="AO723" s="388"/>
    </row>
    <row r="724" spans="4:50" x14ac:dyDescent="0.3">
      <c r="D724" s="244"/>
      <c r="E724" s="341" t="str">
        <f>IF(OR(M724="",M724=0,J724="",G724=""),"",
(IF(AND(F716=$P$4,M724&lt;=$R$4),$V$4,0)+IF(AND(F716=$P$5,M724&lt;=$R$5),$V$5,0)+IF(AND(F716=$P$6,M724&lt;=$R$6),$V$6,0)+IF(AND(F716=$P$7,M724&lt;=$R$7),$V$7,0))
)</f>
        <v/>
      </c>
      <c r="F724" s="153" t="s">
        <v>308</v>
      </c>
      <c r="G724" s="616"/>
      <c r="H724" s="617"/>
      <c r="I724" s="618"/>
      <c r="J724" s="616"/>
      <c r="K724" s="617"/>
      <c r="L724" s="618"/>
      <c r="M724" s="255"/>
      <c r="N724" s="256"/>
      <c r="O724" s="388"/>
      <c r="AA724" s="50"/>
      <c r="AD724" s="244"/>
      <c r="AE724" s="341" t="str">
        <f>IF(OR(AM724="",AM724=0,AJ724="",AG724=""),"",
(IF(AND(AF716=$P$4,AM724&lt;=$R$4),$V$4,0)+IF(AND(AF716=$P$5,AM724&lt;=$R$5),$V$5,0)+IF(AND(AF716=$P$6,AM724&lt;=$R$6),$V$6,0)+IF(AND(AF716=$P$7,AM724&lt;=$R$7),$V$7,0))
)</f>
        <v/>
      </c>
      <c r="AF724" s="153" t="s">
        <v>308</v>
      </c>
      <c r="AG724" s="598"/>
      <c r="AH724" s="599"/>
      <c r="AI724" s="600"/>
      <c r="AJ724" s="598"/>
      <c r="AK724" s="599"/>
      <c r="AL724" s="600"/>
      <c r="AM724" s="384"/>
      <c r="AN724" s="256"/>
      <c r="AO724" s="388"/>
    </row>
    <row r="725" spans="4:50" ht="16.5" customHeight="1" thickBot="1" x14ac:dyDescent="0.35">
      <c r="D725" s="203"/>
      <c r="E725" s="3"/>
      <c r="F725" s="3"/>
      <c r="G725" s="3"/>
      <c r="H725" s="3"/>
      <c r="I725" s="3"/>
      <c r="J725" s="3"/>
      <c r="K725" s="3"/>
      <c r="L725" s="3"/>
      <c r="M725" s="3"/>
      <c r="N725" s="204"/>
      <c r="P725" s="2"/>
      <c r="AA725" s="50"/>
      <c r="AD725" s="203"/>
      <c r="AE725" s="3"/>
      <c r="AF725" s="3"/>
      <c r="AG725" s="3"/>
      <c r="AH725" s="3"/>
      <c r="AI725" s="3"/>
      <c r="AJ725" s="3"/>
      <c r="AK725" s="3"/>
      <c r="AL725" s="3"/>
      <c r="AM725" s="3"/>
      <c r="AN725" s="204"/>
      <c r="AP725" s="2"/>
    </row>
    <row r="726" spans="4:50" x14ac:dyDescent="0.3">
      <c r="D726" s="601" t="str">
        <f>IF(
OR(
OR(F728=$P$4,F728=$P$5,F728=$P$6,F728=$P$7),AND(G730="",G731="",G732="",G733="",G734="",G735="",G736="",J730="",J731="",J732="",J733="",J734="",J735="",J736="",M730="",M731="",M732="",M733="",M734="",M735="",M736="",K727="",K728="")
),
"",
"A Set-Aside must be selected."
)</f>
        <v/>
      </c>
      <c r="E726" s="602"/>
      <c r="F726" s="602"/>
      <c r="G726" s="602"/>
      <c r="H726" s="602"/>
      <c r="I726" s="602"/>
      <c r="J726" s="602"/>
      <c r="K726" s="602"/>
      <c r="L726" s="602"/>
      <c r="M726" s="602"/>
      <c r="N726" s="603"/>
      <c r="O726" s="2"/>
      <c r="AA726" s="50"/>
      <c r="AD726" s="601" t="str">
        <f>IF(
OR(
OR(AF728=$P$4,AF728=$P$5,AF728=$P$6,AF728=$P$7),AND(AG730="",AG731="",AG732="",AG733="",AG734="",AG735="",AG736="",AJ730="",AJ731="",AJ732="",AJ733="",AJ734="",AJ735="",AJ736="",AM730="",AM731="",AM732="",AM733="",AM734="",AM735="",AM736="",AK727="",AK728="")
),
"",
"A Set-Aside must be selected."
)</f>
        <v/>
      </c>
      <c r="AE726" s="602"/>
      <c r="AF726" s="602"/>
      <c r="AG726" s="602"/>
      <c r="AH726" s="602"/>
      <c r="AI726" s="602"/>
      <c r="AJ726" s="602"/>
      <c r="AK726" s="602"/>
      <c r="AL726" s="602"/>
      <c r="AM726" s="602"/>
      <c r="AN726" s="603"/>
      <c r="AO726" s="2"/>
    </row>
    <row r="727" spans="4:50" ht="15" customHeight="1" x14ac:dyDescent="0.3">
      <c r="D727" s="199"/>
      <c r="E727" s="9" t="s">
        <v>30</v>
      </c>
      <c r="F727" s="86">
        <f>F715+1</f>
        <v>58</v>
      </c>
      <c r="G727" s="9" t="s">
        <v>175</v>
      </c>
      <c r="H727" s="9"/>
      <c r="I727" s="9"/>
      <c r="J727" s="168" t="s">
        <v>111</v>
      </c>
      <c r="K727" s="148"/>
      <c r="N727" s="200"/>
      <c r="R727" s="596" t="s">
        <v>302</v>
      </c>
      <c r="S727" s="596" t="s">
        <v>303</v>
      </c>
      <c r="T727" s="596" t="s">
        <v>304</v>
      </c>
      <c r="U727" s="596" t="s">
        <v>305</v>
      </c>
      <c r="V727" s="596" t="s">
        <v>306</v>
      </c>
      <c r="W727" s="596" t="s">
        <v>307</v>
      </c>
      <c r="X727" s="596" t="s">
        <v>308</v>
      </c>
      <c r="AA727" s="50"/>
      <c r="AD727" s="199"/>
      <c r="AE727" s="9" t="s">
        <v>30</v>
      </c>
      <c r="AF727" s="86">
        <f>AF715+1</f>
        <v>58</v>
      </c>
      <c r="AG727" s="9" t="s">
        <v>175</v>
      </c>
      <c r="AH727" s="9"/>
      <c r="AI727" s="9"/>
      <c r="AJ727" s="168" t="s">
        <v>111</v>
      </c>
      <c r="AK727" s="382"/>
      <c r="AN727" s="200"/>
      <c r="AR727" s="596" t="s">
        <v>302</v>
      </c>
      <c r="AS727" s="596" t="s">
        <v>303</v>
      </c>
      <c r="AT727" s="596" t="s">
        <v>304</v>
      </c>
      <c r="AU727" s="596" t="s">
        <v>305</v>
      </c>
      <c r="AV727" s="596" t="s">
        <v>306</v>
      </c>
      <c r="AW727" s="596" t="s">
        <v>307</v>
      </c>
      <c r="AX727" s="596" t="s">
        <v>308</v>
      </c>
    </row>
    <row r="728" spans="4:50" ht="15" customHeight="1" x14ac:dyDescent="0.3">
      <c r="D728" s="604" t="s">
        <v>31</v>
      </c>
      <c r="E728" s="594"/>
      <c r="F728" s="151"/>
      <c r="G728" s="86" t="str">
        <f>IF(F728=$P$4,$Q$4,IF(F728=$P$5,$Q$5,IF(F728=$P$6,$Q$6,IF(F728=$P$7,Q$7,IF(F728=$P$8,"","")))))</f>
        <v/>
      </c>
      <c r="H728" s="201"/>
      <c r="I728" s="201"/>
      <c r="J728" s="168" t="s">
        <v>112</v>
      </c>
      <c r="K728" s="148"/>
      <c r="N728" s="200"/>
      <c r="R728" s="596"/>
      <c r="S728" s="596"/>
      <c r="T728" s="596"/>
      <c r="U728" s="596"/>
      <c r="V728" s="596"/>
      <c r="W728" s="596"/>
      <c r="X728" s="596"/>
      <c r="AA728" s="50"/>
      <c r="AD728" s="604" t="s">
        <v>31</v>
      </c>
      <c r="AE728" s="594"/>
      <c r="AF728" s="383"/>
      <c r="AG728" s="86" t="str">
        <f>IF(AF728=$P$4,$Q$4,IF(AF728=$P$5,$Q$5,IF(AF728=$P$6,$Q$6,IF(AF728=$P$7,AQ$7,IF(AF728=$P$8,"","")))))</f>
        <v/>
      </c>
      <c r="AH728" s="201"/>
      <c r="AI728" s="201"/>
      <c r="AJ728" s="168" t="s">
        <v>112</v>
      </c>
      <c r="AK728" s="382"/>
      <c r="AN728" s="200"/>
      <c r="AR728" s="596"/>
      <c r="AS728" s="596"/>
      <c r="AT728" s="596"/>
      <c r="AU728" s="596"/>
      <c r="AV728" s="596"/>
      <c r="AW728" s="596"/>
      <c r="AX728" s="596"/>
    </row>
    <row r="729" spans="4:50" ht="15" customHeight="1" x14ac:dyDescent="0.3">
      <c r="D729" s="244"/>
      <c r="E729" s="230" t="s">
        <v>52</v>
      </c>
      <c r="F729" s="9" t="s">
        <v>32</v>
      </c>
      <c r="G729" s="9" t="s">
        <v>33</v>
      </c>
      <c r="H729" s="9"/>
      <c r="I729" s="9"/>
      <c r="J729" s="9" t="s">
        <v>34</v>
      </c>
      <c r="K729" s="9"/>
      <c r="L729" s="9"/>
      <c r="M729" s="257" t="s">
        <v>35</v>
      </c>
      <c r="N729" s="202"/>
      <c r="O729" s="9"/>
      <c r="P729" s="198" t="s">
        <v>22</v>
      </c>
      <c r="Q729" s="198"/>
      <c r="R729" s="596"/>
      <c r="S729" s="596"/>
      <c r="T729" s="596"/>
      <c r="U729" s="596"/>
      <c r="V729" s="596"/>
      <c r="W729" s="596"/>
      <c r="X729" s="596"/>
      <c r="AA729" s="50"/>
      <c r="AD729" s="244"/>
      <c r="AE729" s="230" t="s">
        <v>52</v>
      </c>
      <c r="AF729" s="9" t="s">
        <v>32</v>
      </c>
      <c r="AG729" s="9" t="s">
        <v>33</v>
      </c>
      <c r="AH729" s="9"/>
      <c r="AI729" s="9"/>
      <c r="AJ729" s="9" t="s">
        <v>34</v>
      </c>
      <c r="AK729" s="9"/>
      <c r="AL729" s="9"/>
      <c r="AM729" s="257" t="s">
        <v>35</v>
      </c>
      <c r="AN729" s="202"/>
      <c r="AO729" s="9"/>
      <c r="AP729" s="198" t="s">
        <v>22</v>
      </c>
      <c r="AQ729" s="198"/>
      <c r="AR729" s="596"/>
      <c r="AS729" s="596"/>
      <c r="AT729" s="596"/>
      <c r="AU729" s="596"/>
      <c r="AV729" s="596"/>
      <c r="AW729" s="596"/>
      <c r="AX729" s="596"/>
    </row>
    <row r="730" spans="4:50" ht="15" customHeight="1" x14ac:dyDescent="0.3">
      <c r="D730" s="244"/>
      <c r="E730" s="355" t="str">
        <f>IF(OR(M730="",M730=0,J730="",G730=""),"",
(IF(AND(F728=$P$4,M730&lt;=$R$4),$V$4,0)+IF(AND(F728=$P$5,M730&lt;=$R$5),$V$5,0)+IF(AND(F728=$P$6,M730&lt;=$R$6),$V$6,0)+IF(AND(F728=$P$7,M730&lt;=$R$7),$V$7,0))
)</f>
        <v/>
      </c>
      <c r="F730" s="153" t="s">
        <v>302</v>
      </c>
      <c r="G730" s="616"/>
      <c r="H730" s="617"/>
      <c r="I730" s="618"/>
      <c r="J730" s="616"/>
      <c r="K730" s="617"/>
      <c r="L730" s="618"/>
      <c r="M730" s="255"/>
      <c r="N730" s="256"/>
      <c r="O730" s="388"/>
      <c r="P730" s="185">
        <f t="shared" ref="P730" si="911">IF(F728="",0,1)</f>
        <v>0</v>
      </c>
      <c r="R730" s="185" t="str">
        <f t="shared" ref="R730" si="912">E730</f>
        <v/>
      </c>
      <c r="S730" s="185" t="str">
        <f t="shared" ref="S730" si="913">E731</f>
        <v/>
      </c>
      <c r="T730" s="185" t="str">
        <f t="shared" ref="T730" si="914">E732</f>
        <v/>
      </c>
      <c r="U730" s="185" t="str">
        <f t="shared" ref="U730" si="915">E733</f>
        <v/>
      </c>
      <c r="V730" s="185" t="str">
        <f t="shared" ref="V730" si="916">E734</f>
        <v/>
      </c>
      <c r="W730" s="185" t="str">
        <f t="shared" ref="W730" si="917">E735</f>
        <v/>
      </c>
      <c r="X730" s="185" t="str">
        <f t="shared" ref="X730" si="918">E736</f>
        <v/>
      </c>
      <c r="AA730" s="50"/>
      <c r="AD730" s="244"/>
      <c r="AE730" s="355" t="str">
        <f>IF(OR(AM730="",AM730=0,AJ730="",AG730=""),"",
(IF(AND(AF728=$P$4,AM730&lt;=$R$4),$V$4,0)+IF(AND(AF728=$P$5,AM730&lt;=$R$5),$V$5,0)+IF(AND(AF728=$P$6,AM730&lt;=$R$6),$V$6,0)+IF(AND(AF728=$P$7,AM730&lt;=$R$7),$V$7,0))
)</f>
        <v/>
      </c>
      <c r="AF730" s="153" t="s">
        <v>302</v>
      </c>
      <c r="AG730" s="598"/>
      <c r="AH730" s="599"/>
      <c r="AI730" s="600"/>
      <c r="AJ730" s="598"/>
      <c r="AK730" s="599"/>
      <c r="AL730" s="600"/>
      <c r="AM730" s="384"/>
      <c r="AN730" s="256"/>
      <c r="AO730" s="388"/>
      <c r="AP730" s="185">
        <f t="shared" ref="AP730" si="919">IF(AF728="",0,1)</f>
        <v>0</v>
      </c>
      <c r="AR730" s="185" t="str">
        <f t="shared" ref="AR730" si="920">AE730</f>
        <v/>
      </c>
      <c r="AS730" s="185" t="str">
        <f t="shared" ref="AS730" si="921">AE731</f>
        <v/>
      </c>
      <c r="AT730" s="185" t="str">
        <f t="shared" ref="AT730" si="922">AE732</f>
        <v/>
      </c>
      <c r="AU730" s="185" t="str">
        <f t="shared" ref="AU730" si="923">AE733</f>
        <v/>
      </c>
      <c r="AV730" s="185" t="str">
        <f t="shared" ref="AV730" si="924">AE734</f>
        <v/>
      </c>
      <c r="AW730" s="185" t="str">
        <f t="shared" ref="AW730" si="925">AE735</f>
        <v/>
      </c>
      <c r="AX730" s="185" t="str">
        <f t="shared" ref="AX730" si="926">AE736</f>
        <v/>
      </c>
    </row>
    <row r="731" spans="4:50" ht="15" customHeight="1" x14ac:dyDescent="0.3">
      <c r="D731" s="244"/>
      <c r="E731" s="341" t="str">
        <f>IF(OR(M731="",M731=0,J731="",G731=""),"",
(IF(AND(F728=$P$4,M731&lt;=$R$4),$V$4,0)+IF(AND(F728=$P$5,M731&lt;=$R$5),$V$5,0)+IF(AND(F728=$P$6,M731&lt;=$R$6),$V$6,0)+IF(AND(F728=$P$7,M731&lt;=$R$7),$V$7,0))
)</f>
        <v/>
      </c>
      <c r="F731" s="153" t="s">
        <v>303</v>
      </c>
      <c r="G731" s="616"/>
      <c r="H731" s="617"/>
      <c r="I731" s="618"/>
      <c r="J731" s="616"/>
      <c r="K731" s="617"/>
      <c r="L731" s="618"/>
      <c r="M731" s="255"/>
      <c r="N731" s="256"/>
      <c r="O731" s="388"/>
      <c r="AA731" s="50"/>
      <c r="AD731" s="244"/>
      <c r="AE731" s="341" t="str">
        <f>IF(OR(AM731="",AM731=0,AJ731="",AG731=""),"",
(IF(AND(AF728=$P$4,AM731&lt;=$R$4),$V$4,0)+IF(AND(AF728=$P$5,AM731&lt;=$R$5),$V$5,0)+IF(AND(AF728=$P$6,AM731&lt;=$R$6),$V$6,0)+IF(AND(AF728=$P$7,AM731&lt;=$R$7),$V$7,0))
)</f>
        <v/>
      </c>
      <c r="AF731" s="153" t="s">
        <v>303</v>
      </c>
      <c r="AG731" s="598"/>
      <c r="AH731" s="599"/>
      <c r="AI731" s="600"/>
      <c r="AJ731" s="598"/>
      <c r="AK731" s="599"/>
      <c r="AL731" s="600"/>
      <c r="AM731" s="384"/>
      <c r="AN731" s="256"/>
      <c r="AO731" s="388"/>
    </row>
    <row r="732" spans="4:50" x14ac:dyDescent="0.3">
      <c r="D732" s="244"/>
      <c r="E732" s="341" t="str">
        <f>IF(OR(M732="",M732=0,J732="",G732=""),"",
(IF(AND(F728=$P$4,M732&lt;=$R$4),$V$4,0)+IF(AND(F728=$P$5,M732&lt;=$R$5),$V$5,0)+IF(AND(F728=$P$6,M732&lt;=$R$6),$V$6,0)+IF(AND(F728=$P$7,M732&lt;=$R$7),$V$7,0))
)</f>
        <v/>
      </c>
      <c r="F732" s="153" t="s">
        <v>304</v>
      </c>
      <c r="G732" s="616"/>
      <c r="H732" s="617"/>
      <c r="I732" s="618"/>
      <c r="J732" s="616"/>
      <c r="K732" s="617"/>
      <c r="L732" s="618"/>
      <c r="M732" s="255"/>
      <c r="N732" s="256"/>
      <c r="O732" s="388"/>
      <c r="AA732" s="50"/>
      <c r="AD732" s="244"/>
      <c r="AE732" s="341" t="str">
        <f>IF(OR(AM732="",AM732=0,AJ732="",AG732=""),"",
(IF(AND(AF728=$P$4,AM732&lt;=$R$4),$V$4,0)+IF(AND(AF728=$P$5,AM732&lt;=$R$5),$V$5,0)+IF(AND(AF728=$P$6,AM732&lt;=$R$6),$V$6,0)+IF(AND(AF728=$P$7,AM732&lt;=$R$7),$V$7,0))
)</f>
        <v/>
      </c>
      <c r="AF732" s="153" t="s">
        <v>304</v>
      </c>
      <c r="AG732" s="598"/>
      <c r="AH732" s="599"/>
      <c r="AI732" s="600"/>
      <c r="AJ732" s="598"/>
      <c r="AK732" s="599"/>
      <c r="AL732" s="600"/>
      <c r="AM732" s="384"/>
      <c r="AN732" s="256"/>
      <c r="AO732" s="388"/>
    </row>
    <row r="733" spans="4:50" x14ac:dyDescent="0.3">
      <c r="D733" s="244"/>
      <c r="E733" s="341" t="str">
        <f>IF(OR(M733="",M733=0,J733="",G733=""),"",
(IF(AND(F728=$P$4,M733&lt;=$R$4),$V$4,0)+IF(AND(F728=$P$5,M733&lt;=$R$5),$V$5,0)+IF(AND(F728=$P$6,M733&lt;=$R$6),$V$6,0)+IF(AND(F728=$P$7,M733&lt;=$R$7),$V$7,0))
)</f>
        <v/>
      </c>
      <c r="F733" s="153" t="s">
        <v>305</v>
      </c>
      <c r="G733" s="616"/>
      <c r="H733" s="617"/>
      <c r="I733" s="618"/>
      <c r="J733" s="616"/>
      <c r="K733" s="617"/>
      <c r="L733" s="618"/>
      <c r="M733" s="255"/>
      <c r="N733" s="256"/>
      <c r="O733" s="388"/>
      <c r="AA733" s="50"/>
      <c r="AD733" s="244"/>
      <c r="AE733" s="341" t="str">
        <f>IF(OR(AM733="",AM733=0,AJ733="",AG733=""),"",
(IF(AND(AF728=$P$4,AM733&lt;=$R$4),$V$4,0)+IF(AND(AF728=$P$5,AM733&lt;=$R$5),$V$5,0)+IF(AND(AF728=$P$6,AM733&lt;=$R$6),$V$6,0)+IF(AND(AF728=$P$7,AM733&lt;=$R$7),$V$7,0))
)</f>
        <v/>
      </c>
      <c r="AF733" s="153" t="s">
        <v>305</v>
      </c>
      <c r="AG733" s="598"/>
      <c r="AH733" s="599"/>
      <c r="AI733" s="600"/>
      <c r="AJ733" s="598"/>
      <c r="AK733" s="599"/>
      <c r="AL733" s="600"/>
      <c r="AM733" s="384"/>
      <c r="AN733" s="256"/>
      <c r="AO733" s="388"/>
    </row>
    <row r="734" spans="4:50" x14ac:dyDescent="0.3">
      <c r="D734" s="244"/>
      <c r="E734" s="341" t="str">
        <f>IF(OR(M734="",M734=0,J734="",G734=""),"",
(IF(AND(F728=$P$4,M734&lt;=$R$4),$V$4,0)+IF(AND(F728=$P$5,M734&lt;=$R$5),$V$5,0)+IF(AND(F728=$P$6,M734&lt;=$R$6),$V$6,0)+IF(AND(F728=$P$7,M734&lt;=$R$7),$V$7,0))
)</f>
        <v/>
      </c>
      <c r="F734" s="153" t="s">
        <v>306</v>
      </c>
      <c r="G734" s="616"/>
      <c r="H734" s="617"/>
      <c r="I734" s="618"/>
      <c r="J734" s="616"/>
      <c r="K734" s="617"/>
      <c r="L734" s="618"/>
      <c r="M734" s="255"/>
      <c r="N734" s="256"/>
      <c r="O734" s="388"/>
      <c r="AA734" s="50"/>
      <c r="AD734" s="244"/>
      <c r="AE734" s="341" t="str">
        <f>IF(OR(AM734="",AM734=0,AJ734="",AG734=""),"",
(IF(AND(AF728=$P$4,AM734&lt;=$R$4),$V$4,0)+IF(AND(AF728=$P$5,AM734&lt;=$R$5),$V$5,0)+IF(AND(AF728=$P$6,AM734&lt;=$R$6),$V$6,0)+IF(AND(AF728=$P$7,AM734&lt;=$R$7),$V$7,0))
)</f>
        <v/>
      </c>
      <c r="AF734" s="153" t="s">
        <v>306</v>
      </c>
      <c r="AG734" s="598"/>
      <c r="AH734" s="599"/>
      <c r="AI734" s="600"/>
      <c r="AJ734" s="598"/>
      <c r="AK734" s="599"/>
      <c r="AL734" s="600"/>
      <c r="AM734" s="384"/>
      <c r="AN734" s="256"/>
      <c r="AO734" s="388"/>
    </row>
    <row r="735" spans="4:50" x14ac:dyDescent="0.3">
      <c r="D735" s="244"/>
      <c r="E735" s="341" t="str">
        <f>IF(OR(M735="",M735=0,J735="",G735=""),"",
(IF(AND(F728=$P$4,M735&lt;=$R$4),$V$4,0)+IF(AND(F728=$P$5,M735&lt;=$R$5),$V$5,0)+IF(AND(F728=$P$6,M735&lt;=$R$6),$V$6,0)+IF(AND(F728=$P$7,M735&lt;=$R$7),$V$7,0))
)</f>
        <v/>
      </c>
      <c r="F735" s="153" t="s">
        <v>307</v>
      </c>
      <c r="G735" s="616"/>
      <c r="H735" s="617"/>
      <c r="I735" s="618"/>
      <c r="J735" s="616"/>
      <c r="K735" s="617"/>
      <c r="L735" s="618"/>
      <c r="M735" s="255"/>
      <c r="N735" s="256"/>
      <c r="O735" s="388"/>
      <c r="AA735" s="50"/>
      <c r="AD735" s="244"/>
      <c r="AE735" s="341" t="str">
        <f>IF(OR(AM735="",AM735=0,AJ735="",AG735=""),"",
(IF(AND(AF728=$P$4,AM735&lt;=$R$4),$V$4,0)+IF(AND(AF728=$P$5,AM735&lt;=$R$5),$V$5,0)+IF(AND(AF728=$P$6,AM735&lt;=$R$6),$V$6,0)+IF(AND(AF728=$P$7,AM735&lt;=$R$7),$V$7,0))
)</f>
        <v/>
      </c>
      <c r="AF735" s="153" t="s">
        <v>307</v>
      </c>
      <c r="AG735" s="598"/>
      <c r="AH735" s="599"/>
      <c r="AI735" s="600"/>
      <c r="AJ735" s="598"/>
      <c r="AK735" s="599"/>
      <c r="AL735" s="600"/>
      <c r="AM735" s="384"/>
      <c r="AN735" s="256"/>
      <c r="AO735" s="388"/>
    </row>
    <row r="736" spans="4:50" ht="15.75" customHeight="1" x14ac:dyDescent="0.3">
      <c r="D736" s="244"/>
      <c r="E736" s="341" t="str">
        <f>IF(OR(M736="",M736=0,J736="",G736=""),"",
(IF(AND(F728=$P$4,M736&lt;=$R$4),$V$4,0)+IF(AND(F728=$P$5,M736&lt;=$R$5),$V$5,0)+IF(AND(F728=$P$6,M736&lt;=$R$6),$V$6,0)+IF(AND(F728=$P$7,M736&lt;=$R$7),$V$7,0))
)</f>
        <v/>
      </c>
      <c r="F736" s="153" t="s">
        <v>308</v>
      </c>
      <c r="G736" s="616"/>
      <c r="H736" s="617"/>
      <c r="I736" s="618"/>
      <c r="J736" s="616"/>
      <c r="K736" s="617"/>
      <c r="L736" s="618"/>
      <c r="M736" s="255"/>
      <c r="N736" s="256"/>
      <c r="O736" s="388"/>
      <c r="AA736" s="50"/>
      <c r="AD736" s="244"/>
      <c r="AE736" s="341" t="str">
        <f>IF(OR(AM736="",AM736=0,AJ736="",AG736=""),"",
(IF(AND(AF728=$P$4,AM736&lt;=$R$4),$V$4,0)+IF(AND(AF728=$P$5,AM736&lt;=$R$5),$V$5,0)+IF(AND(AF728=$P$6,AM736&lt;=$R$6),$V$6,0)+IF(AND(AF728=$P$7,AM736&lt;=$R$7),$V$7,0))
)</f>
        <v/>
      </c>
      <c r="AF736" s="153" t="s">
        <v>308</v>
      </c>
      <c r="AG736" s="598"/>
      <c r="AH736" s="599"/>
      <c r="AI736" s="600"/>
      <c r="AJ736" s="598"/>
      <c r="AK736" s="599"/>
      <c r="AL736" s="600"/>
      <c r="AM736" s="384"/>
      <c r="AN736" s="256"/>
      <c r="AO736" s="388"/>
    </row>
    <row r="737" spans="4:50" ht="16.2" thickBot="1" x14ac:dyDescent="0.35">
      <c r="D737" s="203"/>
      <c r="E737" s="3"/>
      <c r="F737" s="3"/>
      <c r="G737" s="3"/>
      <c r="H737" s="3"/>
      <c r="I737" s="3"/>
      <c r="J737" s="3"/>
      <c r="K737" s="3"/>
      <c r="L737" s="3"/>
      <c r="M737" s="3"/>
      <c r="N737" s="204"/>
      <c r="P737" s="2"/>
      <c r="AA737" s="50"/>
      <c r="AD737" s="203"/>
      <c r="AE737" s="3"/>
      <c r="AF737" s="3"/>
      <c r="AG737" s="3"/>
      <c r="AH737" s="3"/>
      <c r="AI737" s="3"/>
      <c r="AJ737" s="3"/>
      <c r="AK737" s="3"/>
      <c r="AL737" s="3"/>
      <c r="AM737" s="3"/>
      <c r="AN737" s="204"/>
      <c r="AP737" s="2"/>
    </row>
    <row r="738" spans="4:50" ht="15" customHeight="1" x14ac:dyDescent="0.3">
      <c r="D738" s="601" t="str">
        <f>IF(
OR(
OR(F740=$P$4,F740=$P$5,F740=$P$6,F740=$P$7),AND(G742="",G743="",G744="",G745="",G746="",G747="",G748="",J742="",J743="",J744="",J745="",J746="",J747="",J748="",M742="",M743="",M744="",M745="",M746="",M747="",M748="",K739="",K740="")
),
"",
"A Set-Aside must be selected."
)</f>
        <v/>
      </c>
      <c r="E738" s="602"/>
      <c r="F738" s="602"/>
      <c r="G738" s="602"/>
      <c r="H738" s="602"/>
      <c r="I738" s="602"/>
      <c r="J738" s="602"/>
      <c r="K738" s="602"/>
      <c r="L738" s="602"/>
      <c r="M738" s="602"/>
      <c r="N738" s="603"/>
      <c r="O738" s="2"/>
      <c r="AA738" s="50"/>
      <c r="AD738" s="601" t="str">
        <f>IF(
OR(
OR(AF740=$P$4,AF740=$P$5,AF740=$P$6,AF740=$P$7),AND(AG742="",AG743="",AG744="",AG745="",AG746="",AG747="",AG748="",AJ742="",AJ743="",AJ744="",AJ745="",AJ746="",AJ747="",AJ748="",AM742="",AM743="",AM744="",AM745="",AM746="",AM747="",AM748="",AK739="",AK740="")
),
"",
"A Set-Aside must be selected."
)</f>
        <v/>
      </c>
      <c r="AE738" s="602"/>
      <c r="AF738" s="602"/>
      <c r="AG738" s="602"/>
      <c r="AH738" s="602"/>
      <c r="AI738" s="602"/>
      <c r="AJ738" s="602"/>
      <c r="AK738" s="602"/>
      <c r="AL738" s="602"/>
      <c r="AM738" s="602"/>
      <c r="AN738" s="603"/>
      <c r="AO738" s="2"/>
    </row>
    <row r="739" spans="4:50" ht="15" customHeight="1" x14ac:dyDescent="0.3">
      <c r="D739" s="199"/>
      <c r="E739" s="9" t="s">
        <v>30</v>
      </c>
      <c r="F739" s="86">
        <f>F727+1</f>
        <v>59</v>
      </c>
      <c r="G739" s="9" t="s">
        <v>175</v>
      </c>
      <c r="H739" s="9"/>
      <c r="I739" s="9"/>
      <c r="J739" s="168" t="s">
        <v>111</v>
      </c>
      <c r="K739" s="148"/>
      <c r="N739" s="200"/>
      <c r="R739" s="596" t="s">
        <v>302</v>
      </c>
      <c r="S739" s="596" t="s">
        <v>303</v>
      </c>
      <c r="T739" s="596" t="s">
        <v>304</v>
      </c>
      <c r="U739" s="596" t="s">
        <v>305</v>
      </c>
      <c r="V739" s="596" t="s">
        <v>306</v>
      </c>
      <c r="W739" s="596" t="s">
        <v>307</v>
      </c>
      <c r="X739" s="596" t="s">
        <v>308</v>
      </c>
      <c r="AA739" s="50"/>
      <c r="AD739" s="199"/>
      <c r="AE739" s="9" t="s">
        <v>30</v>
      </c>
      <c r="AF739" s="86">
        <f>AF727+1</f>
        <v>59</v>
      </c>
      <c r="AG739" s="9" t="s">
        <v>175</v>
      </c>
      <c r="AH739" s="9"/>
      <c r="AI739" s="9"/>
      <c r="AJ739" s="168" t="s">
        <v>111</v>
      </c>
      <c r="AK739" s="382"/>
      <c r="AN739" s="200"/>
      <c r="AR739" s="596" t="s">
        <v>302</v>
      </c>
      <c r="AS739" s="596" t="s">
        <v>303</v>
      </c>
      <c r="AT739" s="596" t="s">
        <v>304</v>
      </c>
      <c r="AU739" s="596" t="s">
        <v>305</v>
      </c>
      <c r="AV739" s="596" t="s">
        <v>306</v>
      </c>
      <c r="AW739" s="596" t="s">
        <v>307</v>
      </c>
      <c r="AX739" s="596" t="s">
        <v>308</v>
      </c>
    </row>
    <row r="740" spans="4:50" ht="15" customHeight="1" x14ac:dyDescent="0.3">
      <c r="D740" s="604" t="s">
        <v>31</v>
      </c>
      <c r="E740" s="594"/>
      <c r="F740" s="151"/>
      <c r="G740" s="86" t="str">
        <f>IF(F740=$P$4,$Q$4,IF(F740=$P$5,$Q$5,IF(F740=$P$6,$Q$6,IF(F740=$P$7,Q$7,IF(F740=$P$8,"","")))))</f>
        <v/>
      </c>
      <c r="H740" s="201"/>
      <c r="I740" s="201"/>
      <c r="J740" s="168" t="s">
        <v>112</v>
      </c>
      <c r="K740" s="148"/>
      <c r="N740" s="200"/>
      <c r="R740" s="596"/>
      <c r="S740" s="596"/>
      <c r="T740" s="596"/>
      <c r="U740" s="596"/>
      <c r="V740" s="596"/>
      <c r="W740" s="596"/>
      <c r="X740" s="596"/>
      <c r="AA740" s="50"/>
      <c r="AD740" s="604" t="s">
        <v>31</v>
      </c>
      <c r="AE740" s="594"/>
      <c r="AF740" s="383"/>
      <c r="AG740" s="86" t="str">
        <f>IF(AF740=$P$4,$Q$4,IF(AF740=$P$5,$Q$5,IF(AF740=$P$6,$Q$6,IF(AF740=$P$7,AQ$7,IF(AF740=$P$8,"","")))))</f>
        <v/>
      </c>
      <c r="AH740" s="201"/>
      <c r="AI740" s="201"/>
      <c r="AJ740" s="168" t="s">
        <v>112</v>
      </c>
      <c r="AK740" s="382"/>
      <c r="AN740" s="200"/>
      <c r="AR740" s="596"/>
      <c r="AS740" s="596"/>
      <c r="AT740" s="596"/>
      <c r="AU740" s="596"/>
      <c r="AV740" s="596"/>
      <c r="AW740" s="596"/>
      <c r="AX740" s="596"/>
    </row>
    <row r="741" spans="4:50" ht="15" customHeight="1" x14ac:dyDescent="0.3">
      <c r="D741" s="244"/>
      <c r="E741" s="230" t="s">
        <v>52</v>
      </c>
      <c r="F741" s="9" t="s">
        <v>32</v>
      </c>
      <c r="G741" s="9" t="s">
        <v>33</v>
      </c>
      <c r="H741" s="9"/>
      <c r="I741" s="9"/>
      <c r="J741" s="9" t="s">
        <v>34</v>
      </c>
      <c r="K741" s="9"/>
      <c r="L741" s="9"/>
      <c r="M741" s="257" t="s">
        <v>35</v>
      </c>
      <c r="N741" s="202"/>
      <c r="O741" s="9"/>
      <c r="P741" s="198" t="s">
        <v>22</v>
      </c>
      <c r="Q741" s="198"/>
      <c r="R741" s="596"/>
      <c r="S741" s="596"/>
      <c r="T741" s="596"/>
      <c r="U741" s="596"/>
      <c r="V741" s="596"/>
      <c r="W741" s="596"/>
      <c r="X741" s="596"/>
      <c r="AA741" s="50"/>
      <c r="AD741" s="244"/>
      <c r="AE741" s="230" t="s">
        <v>52</v>
      </c>
      <c r="AF741" s="9" t="s">
        <v>32</v>
      </c>
      <c r="AG741" s="9" t="s">
        <v>33</v>
      </c>
      <c r="AH741" s="9"/>
      <c r="AI741" s="9"/>
      <c r="AJ741" s="9" t="s">
        <v>34</v>
      </c>
      <c r="AK741" s="9"/>
      <c r="AL741" s="9"/>
      <c r="AM741" s="257" t="s">
        <v>35</v>
      </c>
      <c r="AN741" s="202"/>
      <c r="AO741" s="9"/>
      <c r="AP741" s="198" t="s">
        <v>22</v>
      </c>
      <c r="AQ741" s="198"/>
      <c r="AR741" s="596"/>
      <c r="AS741" s="596"/>
      <c r="AT741" s="596"/>
      <c r="AU741" s="596"/>
      <c r="AV741" s="596"/>
      <c r="AW741" s="596"/>
      <c r="AX741" s="596"/>
    </row>
    <row r="742" spans="4:50" ht="15" customHeight="1" x14ac:dyDescent="0.3">
      <c r="D742" s="244"/>
      <c r="E742" s="355" t="str">
        <f>IF(OR(M742="",M742=0,J742="",G742=""),"",
(IF(AND(F740=$P$4,M742&lt;=$R$4),$V$4,0)+IF(AND(F740=$P$5,M742&lt;=$R$5),$V$5,0)+IF(AND(F740=$P$6,M742&lt;=$R$6),$V$6,0)+IF(AND(F740=$P$7,M742&lt;=$R$7),$V$7,0))
)</f>
        <v/>
      </c>
      <c r="F742" s="153" t="s">
        <v>302</v>
      </c>
      <c r="G742" s="616"/>
      <c r="H742" s="617"/>
      <c r="I742" s="618"/>
      <c r="J742" s="616"/>
      <c r="K742" s="617"/>
      <c r="L742" s="618"/>
      <c r="M742" s="255"/>
      <c r="N742" s="256"/>
      <c r="O742" s="388"/>
      <c r="P742" s="185">
        <f t="shared" ref="P742" si="927">IF(F740="",0,1)</f>
        <v>0</v>
      </c>
      <c r="R742" s="185" t="str">
        <f t="shared" ref="R742" si="928">E742</f>
        <v/>
      </c>
      <c r="S742" s="185" t="str">
        <f t="shared" ref="S742" si="929">E743</f>
        <v/>
      </c>
      <c r="T742" s="185" t="str">
        <f t="shared" ref="T742" si="930">E744</f>
        <v/>
      </c>
      <c r="U742" s="185" t="str">
        <f t="shared" ref="U742" si="931">E745</f>
        <v/>
      </c>
      <c r="V742" s="185" t="str">
        <f t="shared" ref="V742" si="932">E746</f>
        <v/>
      </c>
      <c r="W742" s="185" t="str">
        <f t="shared" ref="W742" si="933">E747</f>
        <v/>
      </c>
      <c r="X742" s="185" t="str">
        <f t="shared" ref="X742" si="934">E748</f>
        <v/>
      </c>
      <c r="AA742" s="50"/>
      <c r="AD742" s="244"/>
      <c r="AE742" s="355" t="str">
        <f>IF(OR(AM742="",AM742=0,AJ742="",AG742=""),"",
(IF(AND(AF740=$P$4,AM742&lt;=$R$4),$V$4,0)+IF(AND(AF740=$P$5,AM742&lt;=$R$5),$V$5,0)+IF(AND(AF740=$P$6,AM742&lt;=$R$6),$V$6,0)+IF(AND(AF740=$P$7,AM742&lt;=$R$7),$V$7,0))
)</f>
        <v/>
      </c>
      <c r="AF742" s="153" t="s">
        <v>302</v>
      </c>
      <c r="AG742" s="598"/>
      <c r="AH742" s="599"/>
      <c r="AI742" s="600"/>
      <c r="AJ742" s="598"/>
      <c r="AK742" s="599"/>
      <c r="AL742" s="600"/>
      <c r="AM742" s="384"/>
      <c r="AN742" s="256"/>
      <c r="AO742" s="388"/>
      <c r="AP742" s="185">
        <f t="shared" ref="AP742" si="935">IF(AF740="",0,1)</f>
        <v>0</v>
      </c>
      <c r="AR742" s="185" t="str">
        <f t="shared" ref="AR742" si="936">AE742</f>
        <v/>
      </c>
      <c r="AS742" s="185" t="str">
        <f t="shared" ref="AS742" si="937">AE743</f>
        <v/>
      </c>
      <c r="AT742" s="185" t="str">
        <f t="shared" ref="AT742" si="938">AE744</f>
        <v/>
      </c>
      <c r="AU742" s="185" t="str">
        <f t="shared" ref="AU742" si="939">AE745</f>
        <v/>
      </c>
      <c r="AV742" s="185" t="str">
        <f t="shared" ref="AV742" si="940">AE746</f>
        <v/>
      </c>
      <c r="AW742" s="185" t="str">
        <f t="shared" ref="AW742" si="941">AE747</f>
        <v/>
      </c>
      <c r="AX742" s="185" t="str">
        <f t="shared" ref="AX742" si="942">AE748</f>
        <v/>
      </c>
    </row>
    <row r="743" spans="4:50" ht="15" customHeight="1" x14ac:dyDescent="0.3">
      <c r="D743" s="244"/>
      <c r="E743" s="341" t="str">
        <f>IF(OR(M743="",M743=0,J743="",G743=""),"",
(IF(AND(F740=$P$4,M743&lt;=$R$4),$V$4,0)+IF(AND(F740=$P$5,M743&lt;=$R$5),$V$5,0)+IF(AND(F740=$P$6,M743&lt;=$R$6),$V$6,0)+IF(AND(F740=$P$7,M743&lt;=$R$7),$V$7,0))
)</f>
        <v/>
      </c>
      <c r="F743" s="153" t="s">
        <v>303</v>
      </c>
      <c r="G743" s="616"/>
      <c r="H743" s="617"/>
      <c r="I743" s="618"/>
      <c r="J743" s="616"/>
      <c r="K743" s="617"/>
      <c r="L743" s="618"/>
      <c r="M743" s="255"/>
      <c r="N743" s="256"/>
      <c r="O743" s="388"/>
      <c r="AA743" s="50"/>
      <c r="AD743" s="244"/>
      <c r="AE743" s="341" t="str">
        <f>IF(OR(AM743="",AM743=0,AJ743="",AG743=""),"",
(IF(AND(AF740=$P$4,AM743&lt;=$R$4),$V$4,0)+IF(AND(AF740=$P$5,AM743&lt;=$R$5),$V$5,0)+IF(AND(AF740=$P$6,AM743&lt;=$R$6),$V$6,0)+IF(AND(AF740=$P$7,AM743&lt;=$R$7),$V$7,0))
)</f>
        <v/>
      </c>
      <c r="AF743" s="153" t="s">
        <v>303</v>
      </c>
      <c r="AG743" s="598"/>
      <c r="AH743" s="599"/>
      <c r="AI743" s="600"/>
      <c r="AJ743" s="598"/>
      <c r="AK743" s="599"/>
      <c r="AL743" s="600"/>
      <c r="AM743" s="384"/>
      <c r="AN743" s="256"/>
      <c r="AO743" s="388"/>
    </row>
    <row r="744" spans="4:50" ht="15" customHeight="1" x14ac:dyDescent="0.3">
      <c r="D744" s="244"/>
      <c r="E744" s="341" t="str">
        <f>IF(OR(M744="",M744=0,J744="",G744=""),"",
(IF(AND(F740=$P$4,M744&lt;=$R$4),$V$4,0)+IF(AND(F740=$P$5,M744&lt;=$R$5),$V$5,0)+IF(AND(F740=$P$6,M744&lt;=$R$6),$V$6,0)+IF(AND(F740=$P$7,M744&lt;=$R$7),$V$7,0))
)</f>
        <v/>
      </c>
      <c r="F744" s="153" t="s">
        <v>304</v>
      </c>
      <c r="G744" s="616"/>
      <c r="H744" s="617"/>
      <c r="I744" s="618"/>
      <c r="J744" s="616"/>
      <c r="K744" s="617"/>
      <c r="L744" s="618"/>
      <c r="M744" s="255"/>
      <c r="N744" s="256"/>
      <c r="O744" s="388"/>
      <c r="AA744" s="50"/>
      <c r="AD744" s="244"/>
      <c r="AE744" s="341" t="str">
        <f>IF(OR(AM744="",AM744=0,AJ744="",AG744=""),"",
(IF(AND(AF740=$P$4,AM744&lt;=$R$4),$V$4,0)+IF(AND(AF740=$P$5,AM744&lt;=$R$5),$V$5,0)+IF(AND(AF740=$P$6,AM744&lt;=$R$6),$V$6,0)+IF(AND(AF740=$P$7,AM744&lt;=$R$7),$V$7,0))
)</f>
        <v/>
      </c>
      <c r="AF744" s="153" t="s">
        <v>304</v>
      </c>
      <c r="AG744" s="598"/>
      <c r="AH744" s="599"/>
      <c r="AI744" s="600"/>
      <c r="AJ744" s="598"/>
      <c r="AK744" s="599"/>
      <c r="AL744" s="600"/>
      <c r="AM744" s="384"/>
      <c r="AN744" s="256"/>
      <c r="AO744" s="388"/>
    </row>
    <row r="745" spans="4:50" ht="15" customHeight="1" x14ac:dyDescent="0.3">
      <c r="D745" s="244"/>
      <c r="E745" s="341" t="str">
        <f>IF(OR(M745="",M745=0,J745="",G745=""),"",
(IF(AND(F740=$P$4,M745&lt;=$R$4),$V$4,0)+IF(AND(F740=$P$5,M745&lt;=$R$5),$V$5,0)+IF(AND(F740=$P$6,M745&lt;=$R$6),$V$6,0)+IF(AND(F740=$P$7,M745&lt;=$R$7),$V$7,0))
)</f>
        <v/>
      </c>
      <c r="F745" s="153" t="s">
        <v>305</v>
      </c>
      <c r="G745" s="616"/>
      <c r="H745" s="617"/>
      <c r="I745" s="618"/>
      <c r="J745" s="616"/>
      <c r="K745" s="617"/>
      <c r="L745" s="618"/>
      <c r="M745" s="255"/>
      <c r="N745" s="256"/>
      <c r="O745" s="388"/>
      <c r="AA745" s="50"/>
      <c r="AD745" s="244"/>
      <c r="AE745" s="341" t="str">
        <f>IF(OR(AM745="",AM745=0,AJ745="",AG745=""),"",
(IF(AND(AF740=$P$4,AM745&lt;=$R$4),$V$4,0)+IF(AND(AF740=$P$5,AM745&lt;=$R$5),$V$5,0)+IF(AND(AF740=$P$6,AM745&lt;=$R$6),$V$6,0)+IF(AND(AF740=$P$7,AM745&lt;=$R$7),$V$7,0))
)</f>
        <v/>
      </c>
      <c r="AF745" s="153" t="s">
        <v>305</v>
      </c>
      <c r="AG745" s="598"/>
      <c r="AH745" s="599"/>
      <c r="AI745" s="600"/>
      <c r="AJ745" s="598"/>
      <c r="AK745" s="599"/>
      <c r="AL745" s="600"/>
      <c r="AM745" s="384"/>
      <c r="AN745" s="256"/>
      <c r="AO745" s="388"/>
    </row>
    <row r="746" spans="4:50" x14ac:dyDescent="0.3">
      <c r="D746" s="244"/>
      <c r="E746" s="341" t="str">
        <f>IF(OR(M746="",M746=0,J746="",G746=""),"",
(IF(AND(F740=$P$4,M746&lt;=$R$4),$V$4,0)+IF(AND(F740=$P$5,M746&lt;=$R$5),$V$5,0)+IF(AND(F740=$P$6,M746&lt;=$R$6),$V$6,0)+IF(AND(F740=$P$7,M746&lt;=$R$7),$V$7,0))
)</f>
        <v/>
      </c>
      <c r="F746" s="153" t="s">
        <v>306</v>
      </c>
      <c r="G746" s="616"/>
      <c r="H746" s="617"/>
      <c r="I746" s="618"/>
      <c r="J746" s="616"/>
      <c r="K746" s="617"/>
      <c r="L746" s="618"/>
      <c r="M746" s="255"/>
      <c r="N746" s="256"/>
      <c r="O746" s="388"/>
      <c r="AA746" s="50"/>
      <c r="AD746" s="244"/>
      <c r="AE746" s="341" t="str">
        <f>IF(OR(AM746="",AM746=0,AJ746="",AG746=""),"",
(IF(AND(AF740=$P$4,AM746&lt;=$R$4),$V$4,0)+IF(AND(AF740=$P$5,AM746&lt;=$R$5),$V$5,0)+IF(AND(AF740=$P$6,AM746&lt;=$R$6),$V$6,0)+IF(AND(AF740=$P$7,AM746&lt;=$R$7),$V$7,0))
)</f>
        <v/>
      </c>
      <c r="AF746" s="153" t="s">
        <v>306</v>
      </c>
      <c r="AG746" s="598"/>
      <c r="AH746" s="599"/>
      <c r="AI746" s="600"/>
      <c r="AJ746" s="598"/>
      <c r="AK746" s="599"/>
      <c r="AL746" s="600"/>
      <c r="AM746" s="384"/>
      <c r="AN746" s="256"/>
      <c r="AO746" s="388"/>
    </row>
    <row r="747" spans="4:50" x14ac:dyDescent="0.3">
      <c r="D747" s="244"/>
      <c r="E747" s="341" t="str">
        <f>IF(OR(M747="",M747=0,J747="",G747=""),"",
(IF(AND(F740=$P$4,M747&lt;=$R$4),$V$4,0)+IF(AND(F740=$P$5,M747&lt;=$R$5),$V$5,0)+IF(AND(F740=$P$6,M747&lt;=$R$6),$V$6,0)+IF(AND(F740=$P$7,M747&lt;=$R$7),$V$7,0))
)</f>
        <v/>
      </c>
      <c r="F747" s="153" t="s">
        <v>307</v>
      </c>
      <c r="G747" s="616"/>
      <c r="H747" s="617"/>
      <c r="I747" s="618"/>
      <c r="J747" s="616"/>
      <c r="K747" s="617"/>
      <c r="L747" s="618"/>
      <c r="M747" s="255"/>
      <c r="N747" s="256"/>
      <c r="O747" s="388"/>
      <c r="AA747" s="50"/>
      <c r="AD747" s="244"/>
      <c r="AE747" s="341" t="str">
        <f>IF(OR(AM747="",AM747=0,AJ747="",AG747=""),"",
(IF(AND(AF740=$P$4,AM747&lt;=$R$4),$V$4,0)+IF(AND(AF740=$P$5,AM747&lt;=$R$5),$V$5,0)+IF(AND(AF740=$P$6,AM747&lt;=$R$6),$V$6,0)+IF(AND(AF740=$P$7,AM747&lt;=$R$7),$V$7,0))
)</f>
        <v/>
      </c>
      <c r="AF747" s="153" t="s">
        <v>307</v>
      </c>
      <c r="AG747" s="598"/>
      <c r="AH747" s="599"/>
      <c r="AI747" s="600"/>
      <c r="AJ747" s="598"/>
      <c r="AK747" s="599"/>
      <c r="AL747" s="600"/>
      <c r="AM747" s="384"/>
      <c r="AN747" s="256"/>
      <c r="AO747" s="388"/>
    </row>
    <row r="748" spans="4:50" x14ac:dyDescent="0.3">
      <c r="D748" s="244"/>
      <c r="E748" s="341" t="str">
        <f>IF(OR(M748="",M748=0,J748="",G748=""),"",
(IF(AND(F740=$P$4,M748&lt;=$R$4),$V$4,0)+IF(AND(F740=$P$5,M748&lt;=$R$5),$V$5,0)+IF(AND(F740=$P$6,M748&lt;=$R$6),$V$6,0)+IF(AND(F740=$P$7,M748&lt;=$R$7),$V$7,0))
)</f>
        <v/>
      </c>
      <c r="F748" s="153" t="s">
        <v>308</v>
      </c>
      <c r="G748" s="616"/>
      <c r="H748" s="617"/>
      <c r="I748" s="618"/>
      <c r="J748" s="616"/>
      <c r="K748" s="617"/>
      <c r="L748" s="618"/>
      <c r="M748" s="255"/>
      <c r="N748" s="256"/>
      <c r="O748" s="388"/>
      <c r="AA748" s="50"/>
      <c r="AD748" s="244"/>
      <c r="AE748" s="341" t="str">
        <f>IF(OR(AM748="",AM748=0,AJ748="",AG748=""),"",
(IF(AND(AF740=$P$4,AM748&lt;=$R$4),$V$4,0)+IF(AND(AF740=$P$5,AM748&lt;=$R$5),$V$5,0)+IF(AND(AF740=$P$6,AM748&lt;=$R$6),$V$6,0)+IF(AND(AF740=$P$7,AM748&lt;=$R$7),$V$7,0))
)</f>
        <v/>
      </c>
      <c r="AF748" s="153" t="s">
        <v>308</v>
      </c>
      <c r="AG748" s="598"/>
      <c r="AH748" s="599"/>
      <c r="AI748" s="600"/>
      <c r="AJ748" s="598"/>
      <c r="AK748" s="599"/>
      <c r="AL748" s="600"/>
      <c r="AM748" s="384"/>
      <c r="AN748" s="256"/>
      <c r="AO748" s="388"/>
    </row>
    <row r="749" spans="4:50" ht="16.2" thickBot="1" x14ac:dyDescent="0.35">
      <c r="D749" s="203"/>
      <c r="E749" s="3"/>
      <c r="F749" s="3"/>
      <c r="G749" s="3"/>
      <c r="H749" s="3"/>
      <c r="I749" s="3"/>
      <c r="J749" s="3"/>
      <c r="K749" s="3"/>
      <c r="L749" s="3"/>
      <c r="M749" s="3"/>
      <c r="N749" s="204"/>
      <c r="P749" s="2"/>
      <c r="AA749" s="50"/>
      <c r="AD749" s="203"/>
      <c r="AE749" s="3"/>
      <c r="AF749" s="3"/>
      <c r="AG749" s="3"/>
      <c r="AH749" s="3"/>
      <c r="AI749" s="3"/>
      <c r="AJ749" s="3"/>
      <c r="AK749" s="3"/>
      <c r="AL749" s="3"/>
      <c r="AM749" s="3"/>
      <c r="AN749" s="204"/>
      <c r="AP749" s="2"/>
    </row>
    <row r="750" spans="4:50" ht="15.75" customHeight="1" x14ac:dyDescent="0.3">
      <c r="D750" s="601" t="str">
        <f>IF(
OR(
OR(F752=$P$4,F752=$P$5,F752=$P$6,F752=$P$7),AND(G754="",G755="",G756="",G757="",G758="",G759="",G760="",J754="",J755="",J756="",J757="",J758="",J759="",J760="",M754="",M755="",M756="",M757="",M758="",M759="",M760="",K751="",K752="")
),
"",
"A Set-Aside must be selected."
)</f>
        <v/>
      </c>
      <c r="E750" s="602"/>
      <c r="F750" s="602"/>
      <c r="G750" s="602"/>
      <c r="H750" s="602"/>
      <c r="I750" s="602"/>
      <c r="J750" s="602"/>
      <c r="K750" s="602"/>
      <c r="L750" s="602"/>
      <c r="M750" s="602"/>
      <c r="N750" s="603"/>
      <c r="O750" s="2"/>
      <c r="AA750" s="50"/>
      <c r="AD750" s="601" t="str">
        <f>IF(
OR(
OR(AF752=$P$4,AF752=$P$5,AF752=$P$6,AF752=$P$7),AND(AG754="",AG755="",AG756="",AG757="",AG758="",AG759="",AG760="",AJ754="",AJ755="",AJ756="",AJ757="",AJ758="",AJ759="",AJ760="",AM754="",AM755="",AM756="",AM757="",AM758="",AM759="",AM760="",AK751="",AK752="")
),
"",
"A Set-Aside must be selected."
)</f>
        <v/>
      </c>
      <c r="AE750" s="602"/>
      <c r="AF750" s="602"/>
      <c r="AG750" s="602"/>
      <c r="AH750" s="602"/>
      <c r="AI750" s="602"/>
      <c r="AJ750" s="602"/>
      <c r="AK750" s="602"/>
      <c r="AL750" s="602"/>
      <c r="AM750" s="602"/>
      <c r="AN750" s="603"/>
      <c r="AO750" s="2"/>
    </row>
    <row r="751" spans="4:50" ht="15.75" customHeight="1" x14ac:dyDescent="0.3">
      <c r="D751" s="199"/>
      <c r="E751" s="9" t="s">
        <v>30</v>
      </c>
      <c r="F751" s="86">
        <f>F739+1</f>
        <v>60</v>
      </c>
      <c r="G751" s="9" t="s">
        <v>175</v>
      </c>
      <c r="H751" s="9"/>
      <c r="I751" s="9"/>
      <c r="J751" s="168" t="s">
        <v>111</v>
      </c>
      <c r="K751" s="148"/>
      <c r="N751" s="200"/>
      <c r="R751" s="596" t="s">
        <v>302</v>
      </c>
      <c r="S751" s="596" t="s">
        <v>303</v>
      </c>
      <c r="T751" s="596" t="s">
        <v>304</v>
      </c>
      <c r="U751" s="596" t="s">
        <v>305</v>
      </c>
      <c r="V751" s="596" t="s">
        <v>306</v>
      </c>
      <c r="W751" s="596" t="s">
        <v>307</v>
      </c>
      <c r="X751" s="596" t="s">
        <v>308</v>
      </c>
      <c r="AA751" s="50"/>
      <c r="AD751" s="199"/>
      <c r="AE751" s="9" t="s">
        <v>30</v>
      </c>
      <c r="AF751" s="86">
        <f>AF739+1</f>
        <v>60</v>
      </c>
      <c r="AG751" s="9" t="s">
        <v>175</v>
      </c>
      <c r="AH751" s="9"/>
      <c r="AI751" s="9"/>
      <c r="AJ751" s="168" t="s">
        <v>111</v>
      </c>
      <c r="AK751" s="382"/>
      <c r="AN751" s="200"/>
      <c r="AR751" s="596" t="s">
        <v>302</v>
      </c>
      <c r="AS751" s="596" t="s">
        <v>303</v>
      </c>
      <c r="AT751" s="596" t="s">
        <v>304</v>
      </c>
      <c r="AU751" s="596" t="s">
        <v>305</v>
      </c>
      <c r="AV751" s="596" t="s">
        <v>306</v>
      </c>
      <c r="AW751" s="596" t="s">
        <v>307</v>
      </c>
      <c r="AX751" s="596" t="s">
        <v>308</v>
      </c>
    </row>
    <row r="752" spans="4:50" ht="15" customHeight="1" x14ac:dyDescent="0.3">
      <c r="D752" s="604" t="s">
        <v>31</v>
      </c>
      <c r="E752" s="594"/>
      <c r="F752" s="151"/>
      <c r="G752" s="86" t="str">
        <f>IF(F752=$P$4,$Q$4,IF(F752=$P$5,$Q$5,IF(F752=$P$6,$Q$6,IF(F752=$P$7,Q$7,IF(F752=$P$8,"","")))))</f>
        <v/>
      </c>
      <c r="H752" s="201"/>
      <c r="I752" s="201"/>
      <c r="J752" s="168" t="s">
        <v>112</v>
      </c>
      <c r="K752" s="148"/>
      <c r="N752" s="200"/>
      <c r="R752" s="596"/>
      <c r="S752" s="596"/>
      <c r="T752" s="596"/>
      <c r="U752" s="596"/>
      <c r="V752" s="596"/>
      <c r="W752" s="596"/>
      <c r="X752" s="596"/>
      <c r="AA752" s="50"/>
      <c r="AD752" s="604" t="s">
        <v>31</v>
      </c>
      <c r="AE752" s="594"/>
      <c r="AF752" s="383"/>
      <c r="AG752" s="86" t="str">
        <f>IF(AF752=$P$4,$Q$4,IF(AF752=$P$5,$Q$5,IF(AF752=$P$6,$Q$6,IF(AF752=$P$7,AQ$7,IF(AF752=$P$8,"","")))))</f>
        <v/>
      </c>
      <c r="AH752" s="201"/>
      <c r="AI752" s="201"/>
      <c r="AJ752" s="168" t="s">
        <v>112</v>
      </c>
      <c r="AK752" s="382"/>
      <c r="AN752" s="200"/>
      <c r="AR752" s="596"/>
      <c r="AS752" s="596"/>
      <c r="AT752" s="596"/>
      <c r="AU752" s="596"/>
      <c r="AV752" s="596"/>
      <c r="AW752" s="596"/>
      <c r="AX752" s="596"/>
    </row>
    <row r="753" spans="4:50" ht="15" customHeight="1" x14ac:dyDescent="0.3">
      <c r="D753" s="244"/>
      <c r="E753" s="230" t="s">
        <v>52</v>
      </c>
      <c r="F753" s="9" t="s">
        <v>32</v>
      </c>
      <c r="G753" s="9" t="s">
        <v>33</v>
      </c>
      <c r="H753" s="9"/>
      <c r="I753" s="9"/>
      <c r="J753" s="9" t="s">
        <v>34</v>
      </c>
      <c r="K753" s="9"/>
      <c r="L753" s="9"/>
      <c r="M753" s="257" t="s">
        <v>35</v>
      </c>
      <c r="N753" s="202"/>
      <c r="O753" s="9"/>
      <c r="P753" s="198" t="s">
        <v>22</v>
      </c>
      <c r="Q753" s="198"/>
      <c r="R753" s="596"/>
      <c r="S753" s="596"/>
      <c r="T753" s="596"/>
      <c r="U753" s="596"/>
      <c r="V753" s="596"/>
      <c r="W753" s="596"/>
      <c r="X753" s="596"/>
      <c r="AA753" s="50"/>
      <c r="AD753" s="244"/>
      <c r="AE753" s="230" t="s">
        <v>52</v>
      </c>
      <c r="AF753" s="9" t="s">
        <v>32</v>
      </c>
      <c r="AG753" s="9" t="s">
        <v>33</v>
      </c>
      <c r="AH753" s="9"/>
      <c r="AI753" s="9"/>
      <c r="AJ753" s="9" t="s">
        <v>34</v>
      </c>
      <c r="AK753" s="9"/>
      <c r="AL753" s="9"/>
      <c r="AM753" s="257" t="s">
        <v>35</v>
      </c>
      <c r="AN753" s="202"/>
      <c r="AO753" s="9"/>
      <c r="AP753" s="198" t="s">
        <v>22</v>
      </c>
      <c r="AQ753" s="198"/>
      <c r="AR753" s="596"/>
      <c r="AS753" s="596"/>
      <c r="AT753" s="596"/>
      <c r="AU753" s="596"/>
      <c r="AV753" s="596"/>
      <c r="AW753" s="596"/>
      <c r="AX753" s="596"/>
    </row>
    <row r="754" spans="4:50" ht="15" customHeight="1" x14ac:dyDescent="0.3">
      <c r="D754" s="244"/>
      <c r="E754" s="355" t="str">
        <f>IF(OR(M754="",M754=0,J754="",G754=""),"",
(IF(AND(F752=$P$4,M754&lt;=$R$4),$V$4,0)+IF(AND(F752=$P$5,M754&lt;=$R$5),$V$5,0)+IF(AND(F752=$P$6,M754&lt;=$R$6),$V$6,0)+IF(AND(F752=$P$7,M754&lt;=$R$7),$V$7,0))
)</f>
        <v/>
      </c>
      <c r="F754" s="153" t="s">
        <v>302</v>
      </c>
      <c r="G754" s="616"/>
      <c r="H754" s="617"/>
      <c r="I754" s="618"/>
      <c r="J754" s="616"/>
      <c r="K754" s="617"/>
      <c r="L754" s="618"/>
      <c r="M754" s="255"/>
      <c r="N754" s="256"/>
      <c r="O754" s="388"/>
      <c r="P754" s="185">
        <f t="shared" ref="P754" si="943">IF(F752="",0,1)</f>
        <v>0</v>
      </c>
      <c r="R754" s="185" t="str">
        <f t="shared" ref="R754" si="944">E754</f>
        <v/>
      </c>
      <c r="S754" s="185" t="str">
        <f t="shared" ref="S754" si="945">E755</f>
        <v/>
      </c>
      <c r="T754" s="185" t="str">
        <f t="shared" ref="T754" si="946">E756</f>
        <v/>
      </c>
      <c r="U754" s="185" t="str">
        <f t="shared" ref="U754" si="947">E757</f>
        <v/>
      </c>
      <c r="V754" s="185" t="str">
        <f t="shared" ref="V754" si="948">E758</f>
        <v/>
      </c>
      <c r="W754" s="185" t="str">
        <f t="shared" ref="W754" si="949">E759</f>
        <v/>
      </c>
      <c r="X754" s="185" t="str">
        <f t="shared" ref="X754" si="950">E760</f>
        <v/>
      </c>
      <c r="AA754" s="50"/>
      <c r="AD754" s="244"/>
      <c r="AE754" s="355" t="str">
        <f>IF(OR(AM754="",AM754=0,AJ754="",AG754=""),"",
(IF(AND(AF752=$P$4,AM754&lt;=$R$4),$V$4,0)+IF(AND(AF752=$P$5,AM754&lt;=$R$5),$V$5,0)+IF(AND(AF752=$P$6,AM754&lt;=$R$6),$V$6,0)+IF(AND(AF752=$P$7,AM754&lt;=$R$7),$V$7,0))
)</f>
        <v/>
      </c>
      <c r="AF754" s="153" t="s">
        <v>302</v>
      </c>
      <c r="AG754" s="598"/>
      <c r="AH754" s="599"/>
      <c r="AI754" s="600"/>
      <c r="AJ754" s="598"/>
      <c r="AK754" s="599"/>
      <c r="AL754" s="600"/>
      <c r="AM754" s="384"/>
      <c r="AN754" s="256"/>
      <c r="AO754" s="388"/>
      <c r="AP754" s="185">
        <f t="shared" ref="AP754" si="951">IF(AF752="",0,1)</f>
        <v>0</v>
      </c>
      <c r="AR754" s="185" t="str">
        <f t="shared" ref="AR754" si="952">AE754</f>
        <v/>
      </c>
      <c r="AS754" s="185" t="str">
        <f t="shared" ref="AS754" si="953">AE755</f>
        <v/>
      </c>
      <c r="AT754" s="185" t="str">
        <f t="shared" ref="AT754" si="954">AE756</f>
        <v/>
      </c>
      <c r="AU754" s="185" t="str">
        <f t="shared" ref="AU754" si="955">AE757</f>
        <v/>
      </c>
      <c r="AV754" s="185" t="str">
        <f t="shared" ref="AV754" si="956">AE758</f>
        <v/>
      </c>
      <c r="AW754" s="185" t="str">
        <f t="shared" ref="AW754" si="957">AE759</f>
        <v/>
      </c>
      <c r="AX754" s="185" t="str">
        <f t="shared" ref="AX754" si="958">AE760</f>
        <v/>
      </c>
    </row>
    <row r="755" spans="4:50" ht="15" customHeight="1" x14ac:dyDescent="0.3">
      <c r="D755" s="244"/>
      <c r="E755" s="341" t="str">
        <f>IF(OR(M755="",M755=0,J755="",G755=""),"",
(IF(AND(F752=$P$4,M755&lt;=$R$4),$V$4,0)+IF(AND(F752=$P$5,M755&lt;=$R$5),$V$5,0)+IF(AND(F752=$P$6,M755&lt;=$R$6),$V$6,0)+IF(AND(F752=$P$7,M755&lt;=$R$7),$V$7,0))
)</f>
        <v/>
      </c>
      <c r="F755" s="153" t="s">
        <v>303</v>
      </c>
      <c r="G755" s="616"/>
      <c r="H755" s="617"/>
      <c r="I755" s="618"/>
      <c r="J755" s="616"/>
      <c r="K755" s="617"/>
      <c r="L755" s="618"/>
      <c r="M755" s="255"/>
      <c r="N755" s="256"/>
      <c r="O755" s="388"/>
      <c r="AA755" s="50"/>
      <c r="AD755" s="244"/>
      <c r="AE755" s="341" t="str">
        <f>IF(OR(AM755="",AM755=0,AJ755="",AG755=""),"",
(IF(AND(AF752=$P$4,AM755&lt;=$R$4),$V$4,0)+IF(AND(AF752=$P$5,AM755&lt;=$R$5),$V$5,0)+IF(AND(AF752=$P$6,AM755&lt;=$R$6),$V$6,0)+IF(AND(AF752=$P$7,AM755&lt;=$R$7),$V$7,0))
)</f>
        <v/>
      </c>
      <c r="AF755" s="153" t="s">
        <v>303</v>
      </c>
      <c r="AG755" s="598"/>
      <c r="AH755" s="599"/>
      <c r="AI755" s="600"/>
      <c r="AJ755" s="598"/>
      <c r="AK755" s="599"/>
      <c r="AL755" s="600"/>
      <c r="AM755" s="384"/>
      <c r="AN755" s="256"/>
      <c r="AO755" s="388"/>
    </row>
    <row r="756" spans="4:50" ht="15" customHeight="1" x14ac:dyDescent="0.3">
      <c r="D756" s="244"/>
      <c r="E756" s="341" t="str">
        <f>IF(OR(M756="",M756=0,J756="",G756=""),"",
(IF(AND(F752=$P$4,M756&lt;=$R$4),$V$4,0)+IF(AND(F752=$P$5,M756&lt;=$R$5),$V$5,0)+IF(AND(F752=$P$6,M756&lt;=$R$6),$V$6,0)+IF(AND(F752=$P$7,M756&lt;=$R$7),$V$7,0))
)</f>
        <v/>
      </c>
      <c r="F756" s="153" t="s">
        <v>304</v>
      </c>
      <c r="G756" s="616"/>
      <c r="H756" s="617"/>
      <c r="I756" s="618"/>
      <c r="J756" s="616"/>
      <c r="K756" s="617"/>
      <c r="L756" s="618"/>
      <c r="M756" s="255"/>
      <c r="N756" s="256"/>
      <c r="O756" s="388"/>
      <c r="AA756" s="50"/>
      <c r="AD756" s="244"/>
      <c r="AE756" s="341" t="str">
        <f>IF(OR(AM756="",AM756=0,AJ756="",AG756=""),"",
(IF(AND(AF752=$P$4,AM756&lt;=$R$4),$V$4,0)+IF(AND(AF752=$P$5,AM756&lt;=$R$5),$V$5,0)+IF(AND(AF752=$P$6,AM756&lt;=$R$6),$V$6,0)+IF(AND(AF752=$P$7,AM756&lt;=$R$7),$V$7,0))
)</f>
        <v/>
      </c>
      <c r="AF756" s="153" t="s">
        <v>304</v>
      </c>
      <c r="AG756" s="598"/>
      <c r="AH756" s="599"/>
      <c r="AI756" s="600"/>
      <c r="AJ756" s="598"/>
      <c r="AK756" s="599"/>
      <c r="AL756" s="600"/>
      <c r="AM756" s="384"/>
      <c r="AN756" s="256"/>
      <c r="AO756" s="388"/>
    </row>
    <row r="757" spans="4:50" ht="15" customHeight="1" x14ac:dyDescent="0.3">
      <c r="D757" s="244"/>
      <c r="E757" s="341" t="str">
        <f>IF(OR(M757="",M757=0,J757="",G757=""),"",
(IF(AND(F752=$P$4,M757&lt;=$R$4),$V$4,0)+IF(AND(F752=$P$5,M757&lt;=$R$5),$V$5,0)+IF(AND(F752=$P$6,M757&lt;=$R$6),$V$6,0)+IF(AND(F752=$P$7,M757&lt;=$R$7),$V$7,0))
)</f>
        <v/>
      </c>
      <c r="F757" s="153" t="s">
        <v>305</v>
      </c>
      <c r="G757" s="616"/>
      <c r="H757" s="617"/>
      <c r="I757" s="618"/>
      <c r="J757" s="616"/>
      <c r="K757" s="617"/>
      <c r="L757" s="618"/>
      <c r="M757" s="255"/>
      <c r="N757" s="256"/>
      <c r="O757" s="388"/>
      <c r="AA757" s="50"/>
      <c r="AD757" s="244"/>
      <c r="AE757" s="341" t="str">
        <f>IF(OR(AM757="",AM757=0,AJ757="",AG757=""),"",
(IF(AND(AF752=$P$4,AM757&lt;=$R$4),$V$4,0)+IF(AND(AF752=$P$5,AM757&lt;=$R$5),$V$5,0)+IF(AND(AF752=$P$6,AM757&lt;=$R$6),$V$6,0)+IF(AND(AF752=$P$7,AM757&lt;=$R$7),$V$7,0))
)</f>
        <v/>
      </c>
      <c r="AF757" s="153" t="s">
        <v>305</v>
      </c>
      <c r="AG757" s="598"/>
      <c r="AH757" s="599"/>
      <c r="AI757" s="600"/>
      <c r="AJ757" s="598"/>
      <c r="AK757" s="599"/>
      <c r="AL757" s="600"/>
      <c r="AM757" s="384"/>
      <c r="AN757" s="256"/>
      <c r="AO757" s="388"/>
    </row>
    <row r="758" spans="4:50" ht="15" customHeight="1" x14ac:dyDescent="0.3">
      <c r="D758" s="244"/>
      <c r="E758" s="341" t="str">
        <f>IF(OR(M758="",M758=0,J758="",G758=""),"",
(IF(AND(F752=$P$4,M758&lt;=$R$4),$V$4,0)+IF(AND(F752=$P$5,M758&lt;=$R$5),$V$5,0)+IF(AND(F752=$P$6,M758&lt;=$R$6),$V$6,0)+IF(AND(F752=$P$7,M758&lt;=$R$7),$V$7,0))
)</f>
        <v/>
      </c>
      <c r="F758" s="153" t="s">
        <v>306</v>
      </c>
      <c r="G758" s="616"/>
      <c r="H758" s="617"/>
      <c r="I758" s="618"/>
      <c r="J758" s="616"/>
      <c r="K758" s="617"/>
      <c r="L758" s="618"/>
      <c r="M758" s="255"/>
      <c r="N758" s="256"/>
      <c r="O758" s="388"/>
      <c r="AA758" s="50"/>
      <c r="AD758" s="244"/>
      <c r="AE758" s="341" t="str">
        <f>IF(OR(AM758="",AM758=0,AJ758="",AG758=""),"",
(IF(AND(AF752=$P$4,AM758&lt;=$R$4),$V$4,0)+IF(AND(AF752=$P$5,AM758&lt;=$R$5),$V$5,0)+IF(AND(AF752=$P$6,AM758&lt;=$R$6),$V$6,0)+IF(AND(AF752=$P$7,AM758&lt;=$R$7),$V$7,0))
)</f>
        <v/>
      </c>
      <c r="AF758" s="153" t="s">
        <v>306</v>
      </c>
      <c r="AG758" s="598"/>
      <c r="AH758" s="599"/>
      <c r="AI758" s="600"/>
      <c r="AJ758" s="598"/>
      <c r="AK758" s="599"/>
      <c r="AL758" s="600"/>
      <c r="AM758" s="384"/>
      <c r="AN758" s="256"/>
      <c r="AO758" s="388"/>
    </row>
    <row r="759" spans="4:50" ht="15" customHeight="1" x14ac:dyDescent="0.3">
      <c r="D759" s="244"/>
      <c r="E759" s="341" t="str">
        <f>IF(OR(M759="",M759=0,J759="",G759=""),"",
(IF(AND(F752=$P$4,M759&lt;=$R$4),$V$4,0)+IF(AND(F752=$P$5,M759&lt;=$R$5),$V$5,0)+IF(AND(F752=$P$6,M759&lt;=$R$6),$V$6,0)+IF(AND(F752=$P$7,M759&lt;=$R$7),$V$7,0))
)</f>
        <v/>
      </c>
      <c r="F759" s="153" t="s">
        <v>307</v>
      </c>
      <c r="G759" s="616"/>
      <c r="H759" s="617"/>
      <c r="I759" s="618"/>
      <c r="J759" s="616"/>
      <c r="K759" s="617"/>
      <c r="L759" s="618"/>
      <c r="M759" s="255"/>
      <c r="N759" s="256"/>
      <c r="O759" s="388"/>
      <c r="AA759" s="50"/>
      <c r="AD759" s="244"/>
      <c r="AE759" s="341" t="str">
        <f>IF(OR(AM759="",AM759=0,AJ759="",AG759=""),"",
(IF(AND(AF752=$P$4,AM759&lt;=$R$4),$V$4,0)+IF(AND(AF752=$P$5,AM759&lt;=$R$5),$V$5,0)+IF(AND(AF752=$P$6,AM759&lt;=$R$6),$V$6,0)+IF(AND(AF752=$P$7,AM759&lt;=$R$7),$V$7,0))
)</f>
        <v/>
      </c>
      <c r="AF759" s="153" t="s">
        <v>307</v>
      </c>
      <c r="AG759" s="598"/>
      <c r="AH759" s="599"/>
      <c r="AI759" s="600"/>
      <c r="AJ759" s="598"/>
      <c r="AK759" s="599"/>
      <c r="AL759" s="600"/>
      <c r="AM759" s="384"/>
      <c r="AN759" s="256"/>
      <c r="AO759" s="388"/>
    </row>
    <row r="760" spans="4:50" x14ac:dyDescent="0.3">
      <c r="D760" s="244"/>
      <c r="E760" s="341" t="str">
        <f>IF(OR(M760="",M760=0,J760="",G760=""),"",
(IF(AND(F752=$P$4,M760&lt;=$R$4),$V$4,0)+IF(AND(F752=$P$5,M760&lt;=$R$5),$V$5,0)+IF(AND(F752=$P$6,M760&lt;=$R$6),$V$6,0)+IF(AND(F752=$P$7,M760&lt;=$R$7),$V$7,0))
)</f>
        <v/>
      </c>
      <c r="F760" s="153" t="s">
        <v>308</v>
      </c>
      <c r="G760" s="616"/>
      <c r="H760" s="617"/>
      <c r="I760" s="618"/>
      <c r="J760" s="616"/>
      <c r="K760" s="617"/>
      <c r="L760" s="618"/>
      <c r="M760" s="255"/>
      <c r="N760" s="256"/>
      <c r="O760" s="388"/>
      <c r="AA760" s="50"/>
      <c r="AD760" s="244"/>
      <c r="AE760" s="341" t="str">
        <f>IF(OR(AM760="",AM760=0,AJ760="",AG760=""),"",
(IF(AND(AF752=$P$4,AM760&lt;=$R$4),$V$4,0)+IF(AND(AF752=$P$5,AM760&lt;=$R$5),$V$5,0)+IF(AND(AF752=$P$6,AM760&lt;=$R$6),$V$6,0)+IF(AND(AF752=$P$7,AM760&lt;=$R$7),$V$7,0))
)</f>
        <v/>
      </c>
      <c r="AF760" s="153" t="s">
        <v>308</v>
      </c>
      <c r="AG760" s="598"/>
      <c r="AH760" s="599"/>
      <c r="AI760" s="600"/>
      <c r="AJ760" s="598"/>
      <c r="AK760" s="599"/>
      <c r="AL760" s="600"/>
      <c r="AM760" s="384"/>
      <c r="AN760" s="256"/>
      <c r="AO760" s="388"/>
    </row>
    <row r="761" spans="4:50" ht="16.2" thickBot="1" x14ac:dyDescent="0.35">
      <c r="D761" s="203"/>
      <c r="E761" s="3"/>
      <c r="F761" s="3"/>
      <c r="G761" s="3"/>
      <c r="H761" s="3"/>
      <c r="I761" s="3"/>
      <c r="J761" s="3"/>
      <c r="K761" s="3"/>
      <c r="L761" s="3"/>
      <c r="M761" s="3"/>
      <c r="N761" s="204"/>
      <c r="P761" s="2"/>
      <c r="AA761" s="50"/>
      <c r="AD761" s="203"/>
      <c r="AE761" s="3"/>
      <c r="AF761" s="3"/>
      <c r="AG761" s="3"/>
      <c r="AH761" s="3"/>
      <c r="AI761" s="3"/>
      <c r="AJ761" s="3"/>
      <c r="AK761" s="3"/>
      <c r="AL761" s="3"/>
      <c r="AM761" s="3"/>
      <c r="AN761" s="204"/>
      <c r="AP761" s="2"/>
    </row>
    <row r="762" spans="4:50" x14ac:dyDescent="0.3">
      <c r="D762" s="601" t="str">
        <f>IF(
OR(
OR(F764=$P$4,F764=$P$5,F764=$P$6,F764=$P$7),AND(G766="",G767="",G768="",G769="",G770="",G771="",G772="",J766="",J767="",J768="",J769="",J770="",J771="",J772="",M766="",M767="",M768="",M769="",M770="",M771="",M772="",K763="",K764="")
),
"",
"A Set-Aside must be selected."
)</f>
        <v/>
      </c>
      <c r="E762" s="602"/>
      <c r="F762" s="602"/>
      <c r="G762" s="602"/>
      <c r="H762" s="602"/>
      <c r="I762" s="602"/>
      <c r="J762" s="602"/>
      <c r="K762" s="602"/>
      <c r="L762" s="602"/>
      <c r="M762" s="602"/>
      <c r="N762" s="603"/>
      <c r="O762" s="2"/>
      <c r="AA762" s="50"/>
      <c r="AD762" s="601" t="str">
        <f>IF(
OR(
OR(AF764=$P$4,AF764=$P$5,AF764=$P$6,AF764=$P$7),AND(AG766="",AG767="",AG768="",AG769="",AG770="",AG771="",AG772="",AJ766="",AJ767="",AJ768="",AJ769="",AJ770="",AJ771="",AJ772="",AM766="",AM767="",AM768="",AM769="",AM770="",AM771="",AM772="",AK763="",AK764="")
),
"",
"A Set-Aside must be selected."
)</f>
        <v/>
      </c>
      <c r="AE762" s="602"/>
      <c r="AF762" s="602"/>
      <c r="AG762" s="602"/>
      <c r="AH762" s="602"/>
      <c r="AI762" s="602"/>
      <c r="AJ762" s="602"/>
      <c r="AK762" s="602"/>
      <c r="AL762" s="602"/>
      <c r="AM762" s="602"/>
      <c r="AN762" s="603"/>
      <c r="AO762" s="2"/>
    </row>
    <row r="763" spans="4:50" ht="15.75" customHeight="1" x14ac:dyDescent="0.3">
      <c r="D763" s="199"/>
      <c r="E763" s="9" t="s">
        <v>30</v>
      </c>
      <c r="F763" s="86">
        <f>F751+1</f>
        <v>61</v>
      </c>
      <c r="G763" s="9" t="s">
        <v>175</v>
      </c>
      <c r="H763" s="9"/>
      <c r="I763" s="9"/>
      <c r="J763" s="168" t="s">
        <v>111</v>
      </c>
      <c r="K763" s="148"/>
      <c r="N763" s="200"/>
      <c r="R763" s="596" t="s">
        <v>302</v>
      </c>
      <c r="S763" s="596" t="s">
        <v>303</v>
      </c>
      <c r="T763" s="596" t="s">
        <v>304</v>
      </c>
      <c r="U763" s="596" t="s">
        <v>305</v>
      </c>
      <c r="V763" s="596" t="s">
        <v>306</v>
      </c>
      <c r="W763" s="596" t="s">
        <v>307</v>
      </c>
      <c r="X763" s="596" t="s">
        <v>308</v>
      </c>
      <c r="AA763" s="50"/>
      <c r="AD763" s="199"/>
      <c r="AE763" s="9" t="s">
        <v>30</v>
      </c>
      <c r="AF763" s="86">
        <f>AF751+1</f>
        <v>61</v>
      </c>
      <c r="AG763" s="9" t="s">
        <v>175</v>
      </c>
      <c r="AH763" s="9"/>
      <c r="AI763" s="9"/>
      <c r="AJ763" s="168" t="s">
        <v>111</v>
      </c>
      <c r="AK763" s="382"/>
      <c r="AN763" s="200"/>
      <c r="AR763" s="596" t="s">
        <v>302</v>
      </c>
      <c r="AS763" s="596" t="s">
        <v>303</v>
      </c>
      <c r="AT763" s="596" t="s">
        <v>304</v>
      </c>
      <c r="AU763" s="596" t="s">
        <v>305</v>
      </c>
      <c r="AV763" s="596" t="s">
        <v>306</v>
      </c>
      <c r="AW763" s="596" t="s">
        <v>307</v>
      </c>
      <c r="AX763" s="596" t="s">
        <v>308</v>
      </c>
    </row>
    <row r="764" spans="4:50" ht="15.75" customHeight="1" x14ac:dyDescent="0.3">
      <c r="D764" s="604" t="s">
        <v>31</v>
      </c>
      <c r="E764" s="594"/>
      <c r="F764" s="151"/>
      <c r="G764" s="86" t="str">
        <f>IF(F764=$P$4,$Q$4,IF(F764=$P$5,$Q$5,IF(F764=$P$6,$Q$6,IF(F764=$P$7,Q$7,IF(F764=$P$8,"","")))))</f>
        <v/>
      </c>
      <c r="H764" s="201"/>
      <c r="I764" s="201"/>
      <c r="J764" s="168" t="s">
        <v>112</v>
      </c>
      <c r="K764" s="148"/>
      <c r="N764" s="200"/>
      <c r="R764" s="596"/>
      <c r="S764" s="596"/>
      <c r="T764" s="596"/>
      <c r="U764" s="596"/>
      <c r="V764" s="596"/>
      <c r="W764" s="596"/>
      <c r="X764" s="596"/>
      <c r="AA764" s="50"/>
      <c r="AD764" s="604" t="s">
        <v>31</v>
      </c>
      <c r="AE764" s="594"/>
      <c r="AF764" s="383"/>
      <c r="AG764" s="86" t="str">
        <f>IF(AF764=$P$4,$Q$4,IF(AF764=$P$5,$Q$5,IF(AF764=$P$6,$Q$6,IF(AF764=$P$7,AQ$7,IF(AF764=$P$8,"","")))))</f>
        <v/>
      </c>
      <c r="AH764" s="201"/>
      <c r="AI764" s="201"/>
      <c r="AJ764" s="168" t="s">
        <v>112</v>
      </c>
      <c r="AK764" s="382"/>
      <c r="AN764" s="200"/>
      <c r="AR764" s="596"/>
      <c r="AS764" s="596"/>
      <c r="AT764" s="596"/>
      <c r="AU764" s="596"/>
      <c r="AV764" s="596"/>
      <c r="AW764" s="596"/>
      <c r="AX764" s="596"/>
    </row>
    <row r="765" spans="4:50" x14ac:dyDescent="0.3">
      <c r="D765" s="244"/>
      <c r="E765" s="230" t="s">
        <v>52</v>
      </c>
      <c r="F765" s="9" t="s">
        <v>32</v>
      </c>
      <c r="G765" s="9" t="s">
        <v>33</v>
      </c>
      <c r="H765" s="9"/>
      <c r="I765" s="9"/>
      <c r="J765" s="9" t="s">
        <v>34</v>
      </c>
      <c r="K765" s="9"/>
      <c r="L765" s="9"/>
      <c r="M765" s="257" t="s">
        <v>35</v>
      </c>
      <c r="N765" s="202"/>
      <c r="O765" s="9"/>
      <c r="P765" s="198" t="s">
        <v>22</v>
      </c>
      <c r="Q765" s="198"/>
      <c r="R765" s="596"/>
      <c r="S765" s="596"/>
      <c r="T765" s="596"/>
      <c r="U765" s="596"/>
      <c r="V765" s="596"/>
      <c r="W765" s="596"/>
      <c r="X765" s="596"/>
      <c r="AA765" s="50"/>
      <c r="AD765" s="244"/>
      <c r="AE765" s="230" t="s">
        <v>52</v>
      </c>
      <c r="AF765" s="9" t="s">
        <v>32</v>
      </c>
      <c r="AG765" s="9" t="s">
        <v>33</v>
      </c>
      <c r="AH765" s="9"/>
      <c r="AI765" s="9"/>
      <c r="AJ765" s="9" t="s">
        <v>34</v>
      </c>
      <c r="AK765" s="9"/>
      <c r="AL765" s="9"/>
      <c r="AM765" s="257" t="s">
        <v>35</v>
      </c>
      <c r="AN765" s="202"/>
      <c r="AO765" s="9"/>
      <c r="AP765" s="198" t="s">
        <v>22</v>
      </c>
      <c r="AQ765" s="198"/>
      <c r="AR765" s="596"/>
      <c r="AS765" s="596"/>
      <c r="AT765" s="596"/>
      <c r="AU765" s="596"/>
      <c r="AV765" s="596"/>
      <c r="AW765" s="596"/>
      <c r="AX765" s="596"/>
    </row>
    <row r="766" spans="4:50" ht="15" customHeight="1" x14ac:dyDescent="0.3">
      <c r="D766" s="244"/>
      <c r="E766" s="355" t="str">
        <f>IF(OR(M766="",M766=0,J766="",G766=""),"",
(IF(AND(F764=$P$4,M766&lt;=$R$4),$V$4,0)+IF(AND(F764=$P$5,M766&lt;=$R$5),$V$5,0)+IF(AND(F764=$P$6,M766&lt;=$R$6),$V$6,0)+IF(AND(F764=$P$7,M766&lt;=$R$7),$V$7,0))
)</f>
        <v/>
      </c>
      <c r="F766" s="153" t="s">
        <v>302</v>
      </c>
      <c r="G766" s="616"/>
      <c r="H766" s="617"/>
      <c r="I766" s="618"/>
      <c r="J766" s="616"/>
      <c r="K766" s="617"/>
      <c r="L766" s="618"/>
      <c r="M766" s="255"/>
      <c r="N766" s="256"/>
      <c r="O766" s="388"/>
      <c r="P766" s="185">
        <f t="shared" ref="P766" si="959">IF(F764="",0,1)</f>
        <v>0</v>
      </c>
      <c r="R766" s="185" t="str">
        <f t="shared" ref="R766" si="960">E766</f>
        <v/>
      </c>
      <c r="S766" s="185" t="str">
        <f t="shared" ref="S766" si="961">E767</f>
        <v/>
      </c>
      <c r="T766" s="185" t="str">
        <f t="shared" ref="T766" si="962">E768</f>
        <v/>
      </c>
      <c r="U766" s="185" t="str">
        <f t="shared" ref="U766" si="963">E769</f>
        <v/>
      </c>
      <c r="V766" s="185" t="str">
        <f t="shared" ref="V766" si="964">E770</f>
        <v/>
      </c>
      <c r="W766" s="185" t="str">
        <f t="shared" ref="W766" si="965">E771</f>
        <v/>
      </c>
      <c r="X766" s="185" t="str">
        <f t="shared" ref="X766" si="966">E772</f>
        <v/>
      </c>
      <c r="AA766" s="50"/>
      <c r="AD766" s="244"/>
      <c r="AE766" s="355" t="str">
        <f>IF(OR(AM766="",AM766=0,AJ766="",AG766=""),"",
(IF(AND(AF764=$P$4,AM766&lt;=$R$4),$V$4,0)+IF(AND(AF764=$P$5,AM766&lt;=$R$5),$V$5,0)+IF(AND(AF764=$P$6,AM766&lt;=$R$6),$V$6,0)+IF(AND(AF764=$P$7,AM766&lt;=$R$7),$V$7,0))
)</f>
        <v/>
      </c>
      <c r="AF766" s="153" t="s">
        <v>302</v>
      </c>
      <c r="AG766" s="598"/>
      <c r="AH766" s="599"/>
      <c r="AI766" s="600"/>
      <c r="AJ766" s="598"/>
      <c r="AK766" s="599"/>
      <c r="AL766" s="600"/>
      <c r="AM766" s="384"/>
      <c r="AN766" s="256"/>
      <c r="AO766" s="388"/>
      <c r="AP766" s="185">
        <f t="shared" ref="AP766" si="967">IF(AF764="",0,1)</f>
        <v>0</v>
      </c>
      <c r="AR766" s="185" t="str">
        <f t="shared" ref="AR766" si="968">AE766</f>
        <v/>
      </c>
      <c r="AS766" s="185" t="str">
        <f t="shared" ref="AS766" si="969">AE767</f>
        <v/>
      </c>
      <c r="AT766" s="185" t="str">
        <f t="shared" ref="AT766" si="970">AE768</f>
        <v/>
      </c>
      <c r="AU766" s="185" t="str">
        <f t="shared" ref="AU766" si="971">AE769</f>
        <v/>
      </c>
      <c r="AV766" s="185" t="str">
        <f t="shared" ref="AV766" si="972">AE770</f>
        <v/>
      </c>
      <c r="AW766" s="185" t="str">
        <f t="shared" ref="AW766" si="973">AE771</f>
        <v/>
      </c>
      <c r="AX766" s="185" t="str">
        <f t="shared" ref="AX766" si="974">AE772</f>
        <v/>
      </c>
    </row>
    <row r="767" spans="4:50" ht="15" customHeight="1" x14ac:dyDescent="0.3">
      <c r="D767" s="244"/>
      <c r="E767" s="341" t="str">
        <f>IF(OR(M767="",M767=0,J767="",G767=""),"",
(IF(AND(F764=$P$4,M767&lt;=$R$4),$V$4,0)+IF(AND(F764=$P$5,M767&lt;=$R$5),$V$5,0)+IF(AND(F764=$P$6,M767&lt;=$R$6),$V$6,0)+IF(AND(F764=$P$7,M767&lt;=$R$7),$V$7,0))
)</f>
        <v/>
      </c>
      <c r="F767" s="153" t="s">
        <v>303</v>
      </c>
      <c r="G767" s="616"/>
      <c r="H767" s="617"/>
      <c r="I767" s="618"/>
      <c r="J767" s="616"/>
      <c r="K767" s="617"/>
      <c r="L767" s="618"/>
      <c r="M767" s="255"/>
      <c r="N767" s="256"/>
      <c r="O767" s="388"/>
      <c r="AA767" s="50"/>
      <c r="AD767" s="244"/>
      <c r="AE767" s="341" t="str">
        <f>IF(OR(AM767="",AM767=0,AJ767="",AG767=""),"",
(IF(AND(AF764=$P$4,AM767&lt;=$R$4),$V$4,0)+IF(AND(AF764=$P$5,AM767&lt;=$R$5),$V$5,0)+IF(AND(AF764=$P$6,AM767&lt;=$R$6),$V$6,0)+IF(AND(AF764=$P$7,AM767&lt;=$R$7),$V$7,0))
)</f>
        <v/>
      </c>
      <c r="AF767" s="153" t="s">
        <v>303</v>
      </c>
      <c r="AG767" s="598"/>
      <c r="AH767" s="599"/>
      <c r="AI767" s="600"/>
      <c r="AJ767" s="598"/>
      <c r="AK767" s="599"/>
      <c r="AL767" s="600"/>
      <c r="AM767" s="384"/>
      <c r="AN767" s="256"/>
      <c r="AO767" s="388"/>
    </row>
    <row r="768" spans="4:50" ht="15" customHeight="1" x14ac:dyDescent="0.3">
      <c r="D768" s="244"/>
      <c r="E768" s="341" t="str">
        <f>IF(OR(M768="",M768=0,J768="",G768=""),"",
(IF(AND(F764=$P$4,M768&lt;=$R$4),$V$4,0)+IF(AND(F764=$P$5,M768&lt;=$R$5),$V$5,0)+IF(AND(F764=$P$6,M768&lt;=$R$6),$V$6,0)+IF(AND(F764=$P$7,M768&lt;=$R$7),$V$7,0))
)</f>
        <v/>
      </c>
      <c r="F768" s="153" t="s">
        <v>304</v>
      </c>
      <c r="G768" s="616"/>
      <c r="H768" s="617"/>
      <c r="I768" s="618"/>
      <c r="J768" s="616"/>
      <c r="K768" s="617"/>
      <c r="L768" s="618"/>
      <c r="M768" s="255"/>
      <c r="N768" s="256"/>
      <c r="O768" s="388"/>
      <c r="AA768" s="50"/>
      <c r="AD768" s="244"/>
      <c r="AE768" s="341" t="str">
        <f>IF(OR(AM768="",AM768=0,AJ768="",AG768=""),"",
(IF(AND(AF764=$P$4,AM768&lt;=$R$4),$V$4,0)+IF(AND(AF764=$P$5,AM768&lt;=$R$5),$V$5,0)+IF(AND(AF764=$P$6,AM768&lt;=$R$6),$V$6,0)+IF(AND(AF764=$P$7,AM768&lt;=$R$7),$V$7,0))
)</f>
        <v/>
      </c>
      <c r="AF768" s="153" t="s">
        <v>304</v>
      </c>
      <c r="AG768" s="598"/>
      <c r="AH768" s="599"/>
      <c r="AI768" s="600"/>
      <c r="AJ768" s="598"/>
      <c r="AK768" s="599"/>
      <c r="AL768" s="600"/>
      <c r="AM768" s="384"/>
      <c r="AN768" s="256"/>
      <c r="AO768" s="388"/>
    </row>
    <row r="769" spans="4:50" ht="15" customHeight="1" x14ac:dyDescent="0.3">
      <c r="D769" s="244"/>
      <c r="E769" s="341" t="str">
        <f>IF(OR(M769="",M769=0,J769="",G769=""),"",
(IF(AND(F764=$P$4,M769&lt;=$R$4),$V$4,0)+IF(AND(F764=$P$5,M769&lt;=$R$5),$V$5,0)+IF(AND(F764=$P$6,M769&lt;=$R$6),$V$6,0)+IF(AND(F764=$P$7,M769&lt;=$R$7),$V$7,0))
)</f>
        <v/>
      </c>
      <c r="F769" s="153" t="s">
        <v>305</v>
      </c>
      <c r="G769" s="616"/>
      <c r="H769" s="617"/>
      <c r="I769" s="618"/>
      <c r="J769" s="616"/>
      <c r="K769" s="617"/>
      <c r="L769" s="618"/>
      <c r="M769" s="255"/>
      <c r="N769" s="256"/>
      <c r="O769" s="388"/>
      <c r="AA769" s="50"/>
      <c r="AD769" s="244"/>
      <c r="AE769" s="341" t="str">
        <f>IF(OR(AM769="",AM769=0,AJ769="",AG769=""),"",
(IF(AND(AF764=$P$4,AM769&lt;=$R$4),$V$4,0)+IF(AND(AF764=$P$5,AM769&lt;=$R$5),$V$5,0)+IF(AND(AF764=$P$6,AM769&lt;=$R$6),$V$6,0)+IF(AND(AF764=$P$7,AM769&lt;=$R$7),$V$7,0))
)</f>
        <v/>
      </c>
      <c r="AF769" s="153" t="s">
        <v>305</v>
      </c>
      <c r="AG769" s="598"/>
      <c r="AH769" s="599"/>
      <c r="AI769" s="600"/>
      <c r="AJ769" s="598"/>
      <c r="AK769" s="599"/>
      <c r="AL769" s="600"/>
      <c r="AM769" s="384"/>
      <c r="AN769" s="256"/>
      <c r="AO769" s="388"/>
    </row>
    <row r="770" spans="4:50" ht="15" customHeight="1" x14ac:dyDescent="0.3">
      <c r="D770" s="244"/>
      <c r="E770" s="341" t="str">
        <f>IF(OR(M770="",M770=0,J770="",G770=""),"",
(IF(AND(F764=$P$4,M770&lt;=$R$4),$V$4,0)+IF(AND(F764=$P$5,M770&lt;=$R$5),$V$5,0)+IF(AND(F764=$P$6,M770&lt;=$R$6),$V$6,0)+IF(AND(F764=$P$7,M770&lt;=$R$7),$V$7,0))
)</f>
        <v/>
      </c>
      <c r="F770" s="153" t="s">
        <v>306</v>
      </c>
      <c r="G770" s="616"/>
      <c r="H770" s="617"/>
      <c r="I770" s="618"/>
      <c r="J770" s="616"/>
      <c r="K770" s="617"/>
      <c r="L770" s="618"/>
      <c r="M770" s="255"/>
      <c r="N770" s="256"/>
      <c r="O770" s="388"/>
      <c r="AA770" s="50"/>
      <c r="AD770" s="244"/>
      <c r="AE770" s="341" t="str">
        <f>IF(OR(AM770="",AM770=0,AJ770="",AG770=""),"",
(IF(AND(AF764=$P$4,AM770&lt;=$R$4),$V$4,0)+IF(AND(AF764=$P$5,AM770&lt;=$R$5),$V$5,0)+IF(AND(AF764=$P$6,AM770&lt;=$R$6),$V$6,0)+IF(AND(AF764=$P$7,AM770&lt;=$R$7),$V$7,0))
)</f>
        <v/>
      </c>
      <c r="AF770" s="153" t="s">
        <v>306</v>
      </c>
      <c r="AG770" s="598"/>
      <c r="AH770" s="599"/>
      <c r="AI770" s="600"/>
      <c r="AJ770" s="598"/>
      <c r="AK770" s="599"/>
      <c r="AL770" s="600"/>
      <c r="AM770" s="384"/>
      <c r="AN770" s="256"/>
      <c r="AO770" s="388"/>
    </row>
    <row r="771" spans="4:50" ht="15" customHeight="1" x14ac:dyDescent="0.3">
      <c r="D771" s="244"/>
      <c r="E771" s="341" t="str">
        <f>IF(OR(M771="",M771=0,J771="",G771=""),"",
(IF(AND(F764=$P$4,M771&lt;=$R$4),$V$4,0)+IF(AND(F764=$P$5,M771&lt;=$R$5),$V$5,0)+IF(AND(F764=$P$6,M771&lt;=$R$6),$V$6,0)+IF(AND(F764=$P$7,M771&lt;=$R$7),$V$7,0))
)</f>
        <v/>
      </c>
      <c r="F771" s="153" t="s">
        <v>307</v>
      </c>
      <c r="G771" s="616"/>
      <c r="H771" s="617"/>
      <c r="I771" s="618"/>
      <c r="J771" s="616"/>
      <c r="K771" s="617"/>
      <c r="L771" s="618"/>
      <c r="M771" s="255"/>
      <c r="N771" s="256"/>
      <c r="O771" s="388"/>
      <c r="AA771" s="50"/>
      <c r="AD771" s="244"/>
      <c r="AE771" s="341" t="str">
        <f>IF(OR(AM771="",AM771=0,AJ771="",AG771=""),"",
(IF(AND(AF764=$P$4,AM771&lt;=$R$4),$V$4,0)+IF(AND(AF764=$P$5,AM771&lt;=$R$5),$V$5,0)+IF(AND(AF764=$P$6,AM771&lt;=$R$6),$V$6,0)+IF(AND(AF764=$P$7,AM771&lt;=$R$7),$V$7,0))
)</f>
        <v/>
      </c>
      <c r="AF771" s="153" t="s">
        <v>307</v>
      </c>
      <c r="AG771" s="598"/>
      <c r="AH771" s="599"/>
      <c r="AI771" s="600"/>
      <c r="AJ771" s="598"/>
      <c r="AK771" s="599"/>
      <c r="AL771" s="600"/>
      <c r="AM771" s="384"/>
      <c r="AN771" s="256"/>
      <c r="AO771" s="388"/>
    </row>
    <row r="772" spans="4:50" ht="15" customHeight="1" x14ac:dyDescent="0.3">
      <c r="D772" s="244"/>
      <c r="E772" s="341" t="str">
        <f>IF(OR(M772="",M772=0,J772="",G772=""),"",
(IF(AND(F764=$P$4,M772&lt;=$R$4),$V$4,0)+IF(AND(F764=$P$5,M772&lt;=$R$5),$V$5,0)+IF(AND(F764=$P$6,M772&lt;=$R$6),$V$6,0)+IF(AND(F764=$P$7,M772&lt;=$R$7),$V$7,0))
)</f>
        <v/>
      </c>
      <c r="F772" s="153" t="s">
        <v>308</v>
      </c>
      <c r="G772" s="616"/>
      <c r="H772" s="617"/>
      <c r="I772" s="618"/>
      <c r="J772" s="616"/>
      <c r="K772" s="617"/>
      <c r="L772" s="618"/>
      <c r="M772" s="255"/>
      <c r="N772" s="256"/>
      <c r="O772" s="388"/>
      <c r="AA772" s="50"/>
      <c r="AD772" s="244"/>
      <c r="AE772" s="341" t="str">
        <f>IF(OR(AM772="",AM772=0,AJ772="",AG772=""),"",
(IF(AND(AF764=$P$4,AM772&lt;=$R$4),$V$4,0)+IF(AND(AF764=$P$5,AM772&lt;=$R$5),$V$5,0)+IF(AND(AF764=$P$6,AM772&lt;=$R$6),$V$6,0)+IF(AND(AF764=$P$7,AM772&lt;=$R$7),$V$7,0))
)</f>
        <v/>
      </c>
      <c r="AF772" s="153" t="s">
        <v>308</v>
      </c>
      <c r="AG772" s="598"/>
      <c r="AH772" s="599"/>
      <c r="AI772" s="600"/>
      <c r="AJ772" s="598"/>
      <c r="AK772" s="599"/>
      <c r="AL772" s="600"/>
      <c r="AM772" s="384"/>
      <c r="AN772" s="256"/>
      <c r="AO772" s="388"/>
    </row>
    <row r="773" spans="4:50" ht="15" customHeight="1" thickBot="1" x14ac:dyDescent="0.35">
      <c r="D773" s="203"/>
      <c r="E773" s="3"/>
      <c r="F773" s="3"/>
      <c r="G773" s="3"/>
      <c r="H773" s="3"/>
      <c r="I773" s="3"/>
      <c r="J773" s="3"/>
      <c r="K773" s="3"/>
      <c r="L773" s="3"/>
      <c r="M773" s="3"/>
      <c r="N773" s="204"/>
      <c r="P773" s="2"/>
      <c r="AA773" s="50"/>
      <c r="AD773" s="203"/>
      <c r="AE773" s="3"/>
      <c r="AF773" s="3"/>
      <c r="AG773" s="3"/>
      <c r="AH773" s="3"/>
      <c r="AI773" s="3"/>
      <c r="AJ773" s="3"/>
      <c r="AK773" s="3"/>
      <c r="AL773" s="3"/>
      <c r="AM773" s="3"/>
      <c r="AN773" s="204"/>
      <c r="AP773" s="2"/>
    </row>
    <row r="774" spans="4:50" x14ac:dyDescent="0.3">
      <c r="D774" s="601" t="str">
        <f>IF(
OR(
OR(F776=$P$4,F776=$P$5,F776=$P$6,F776=$P$7),AND(G778="",G779="",G780="",G781="",G782="",G783="",G784="",J778="",J779="",J780="",J781="",J782="",J783="",J784="",M778="",M779="",M780="",M781="",M782="",M783="",M784="",K775="",K776="")
),
"",
"A Set-Aside must be selected."
)</f>
        <v/>
      </c>
      <c r="E774" s="602"/>
      <c r="F774" s="602"/>
      <c r="G774" s="602"/>
      <c r="H774" s="602"/>
      <c r="I774" s="602"/>
      <c r="J774" s="602"/>
      <c r="K774" s="602"/>
      <c r="L774" s="602"/>
      <c r="M774" s="602"/>
      <c r="N774" s="603"/>
      <c r="O774" s="2"/>
      <c r="AA774" s="50"/>
      <c r="AD774" s="601" t="str">
        <f>IF(
OR(
OR(AF776=$P$4,AF776=$P$5,AF776=$P$6,AF776=$P$7),AND(AG778="",AG779="",AG780="",AG781="",AG782="",AG783="",AG784="",AJ778="",AJ779="",AJ780="",AJ781="",AJ782="",AJ783="",AJ784="",AM778="",AM779="",AM780="",AM781="",AM782="",AM783="",AM784="",AK775="",AK776="")
),
"",
"A Set-Aside must be selected."
)</f>
        <v/>
      </c>
      <c r="AE774" s="602"/>
      <c r="AF774" s="602"/>
      <c r="AG774" s="602"/>
      <c r="AH774" s="602"/>
      <c r="AI774" s="602"/>
      <c r="AJ774" s="602"/>
      <c r="AK774" s="602"/>
      <c r="AL774" s="602"/>
      <c r="AM774" s="602"/>
      <c r="AN774" s="603"/>
      <c r="AO774" s="2"/>
    </row>
    <row r="775" spans="4:50" ht="15.75" customHeight="1" x14ac:dyDescent="0.3">
      <c r="D775" s="199"/>
      <c r="E775" s="9" t="s">
        <v>30</v>
      </c>
      <c r="F775" s="86">
        <f>F763+1</f>
        <v>62</v>
      </c>
      <c r="G775" s="9" t="s">
        <v>175</v>
      </c>
      <c r="H775" s="9"/>
      <c r="I775" s="9"/>
      <c r="J775" s="168" t="s">
        <v>111</v>
      </c>
      <c r="K775" s="148"/>
      <c r="N775" s="200"/>
      <c r="R775" s="596" t="s">
        <v>302</v>
      </c>
      <c r="S775" s="596" t="s">
        <v>303</v>
      </c>
      <c r="T775" s="596" t="s">
        <v>304</v>
      </c>
      <c r="U775" s="596" t="s">
        <v>305</v>
      </c>
      <c r="V775" s="596" t="s">
        <v>306</v>
      </c>
      <c r="W775" s="596" t="s">
        <v>307</v>
      </c>
      <c r="X775" s="596" t="s">
        <v>308</v>
      </c>
      <c r="AA775" s="50"/>
      <c r="AD775" s="199"/>
      <c r="AE775" s="9" t="s">
        <v>30</v>
      </c>
      <c r="AF775" s="86">
        <f>AF763+1</f>
        <v>62</v>
      </c>
      <c r="AG775" s="9" t="s">
        <v>175</v>
      </c>
      <c r="AH775" s="9"/>
      <c r="AI775" s="9"/>
      <c r="AJ775" s="168" t="s">
        <v>111</v>
      </c>
      <c r="AK775" s="382"/>
      <c r="AN775" s="200"/>
      <c r="AR775" s="596" t="s">
        <v>302</v>
      </c>
      <c r="AS775" s="596" t="s">
        <v>303</v>
      </c>
      <c r="AT775" s="596" t="s">
        <v>304</v>
      </c>
      <c r="AU775" s="596" t="s">
        <v>305</v>
      </c>
      <c r="AV775" s="596" t="s">
        <v>306</v>
      </c>
      <c r="AW775" s="596" t="s">
        <v>307</v>
      </c>
      <c r="AX775" s="596" t="s">
        <v>308</v>
      </c>
    </row>
    <row r="776" spans="4:50" x14ac:dyDescent="0.3">
      <c r="D776" s="604" t="s">
        <v>31</v>
      </c>
      <c r="E776" s="594"/>
      <c r="F776" s="151"/>
      <c r="G776" s="86" t="str">
        <f>IF(F776=$P$4,$Q$4,IF(F776=$P$5,$Q$5,IF(F776=$P$6,$Q$6,IF(F776=$P$7,Q$7,IF(F776=$P$8,"","")))))</f>
        <v/>
      </c>
      <c r="H776" s="201"/>
      <c r="I776" s="201"/>
      <c r="J776" s="168" t="s">
        <v>112</v>
      </c>
      <c r="K776" s="148"/>
      <c r="N776" s="200"/>
      <c r="R776" s="596"/>
      <c r="S776" s="596"/>
      <c r="T776" s="596"/>
      <c r="U776" s="596"/>
      <c r="V776" s="596"/>
      <c r="W776" s="596"/>
      <c r="X776" s="596"/>
      <c r="AA776" s="50"/>
      <c r="AD776" s="604" t="s">
        <v>31</v>
      </c>
      <c r="AE776" s="594"/>
      <c r="AF776" s="383"/>
      <c r="AG776" s="86" t="str">
        <f>IF(AF776=$P$4,$Q$4,IF(AF776=$P$5,$Q$5,IF(AF776=$P$6,$Q$6,IF(AF776=$P$7,AQ$7,IF(AF776=$P$8,"","")))))</f>
        <v/>
      </c>
      <c r="AH776" s="201"/>
      <c r="AI776" s="201"/>
      <c r="AJ776" s="168" t="s">
        <v>112</v>
      </c>
      <c r="AK776" s="382"/>
      <c r="AN776" s="200"/>
      <c r="AR776" s="596"/>
      <c r="AS776" s="596"/>
      <c r="AT776" s="596"/>
      <c r="AU776" s="596"/>
      <c r="AV776" s="596"/>
      <c r="AW776" s="596"/>
      <c r="AX776" s="596"/>
    </row>
    <row r="777" spans="4:50" x14ac:dyDescent="0.3">
      <c r="D777" s="244"/>
      <c r="E777" s="230" t="s">
        <v>52</v>
      </c>
      <c r="F777" s="9" t="s">
        <v>32</v>
      </c>
      <c r="G777" s="9" t="s">
        <v>33</v>
      </c>
      <c r="H777" s="9"/>
      <c r="I777" s="9"/>
      <c r="J777" s="9" t="s">
        <v>34</v>
      </c>
      <c r="K777" s="9"/>
      <c r="L777" s="9"/>
      <c r="M777" s="257" t="s">
        <v>35</v>
      </c>
      <c r="N777" s="202"/>
      <c r="O777" s="9"/>
      <c r="P777" s="198" t="s">
        <v>22</v>
      </c>
      <c r="Q777" s="198"/>
      <c r="R777" s="596"/>
      <c r="S777" s="596"/>
      <c r="T777" s="596"/>
      <c r="U777" s="596"/>
      <c r="V777" s="596"/>
      <c r="W777" s="596"/>
      <c r="X777" s="596"/>
      <c r="AA777" s="50"/>
      <c r="AD777" s="244"/>
      <c r="AE777" s="230" t="s">
        <v>52</v>
      </c>
      <c r="AF777" s="9" t="s">
        <v>32</v>
      </c>
      <c r="AG777" s="9" t="s">
        <v>33</v>
      </c>
      <c r="AH777" s="9"/>
      <c r="AI777" s="9"/>
      <c r="AJ777" s="9" t="s">
        <v>34</v>
      </c>
      <c r="AK777" s="9"/>
      <c r="AL777" s="9"/>
      <c r="AM777" s="257" t="s">
        <v>35</v>
      </c>
      <c r="AN777" s="202"/>
      <c r="AO777" s="9"/>
      <c r="AP777" s="198" t="s">
        <v>22</v>
      </c>
      <c r="AQ777" s="198"/>
      <c r="AR777" s="596"/>
      <c r="AS777" s="596"/>
      <c r="AT777" s="596"/>
      <c r="AU777" s="596"/>
      <c r="AV777" s="596"/>
      <c r="AW777" s="596"/>
      <c r="AX777" s="596"/>
    </row>
    <row r="778" spans="4:50" ht="15.75" customHeight="1" x14ac:dyDescent="0.3">
      <c r="D778" s="244"/>
      <c r="E778" s="355" t="str">
        <f>IF(OR(M778="",M778=0,J778="",G778=""),"",
(IF(AND(F776=$P$4,M778&lt;=$R$4),$V$4,0)+IF(AND(F776=$P$5,M778&lt;=$R$5),$V$5,0)+IF(AND(F776=$P$6,M778&lt;=$R$6),$V$6,0)+IF(AND(F776=$P$7,M778&lt;=$R$7),$V$7,0))
)</f>
        <v/>
      </c>
      <c r="F778" s="153" t="s">
        <v>302</v>
      </c>
      <c r="G778" s="616"/>
      <c r="H778" s="617"/>
      <c r="I778" s="618"/>
      <c r="J778" s="616"/>
      <c r="K778" s="617"/>
      <c r="L778" s="618"/>
      <c r="M778" s="255"/>
      <c r="N778" s="256"/>
      <c r="O778" s="388"/>
      <c r="P778" s="185">
        <f t="shared" ref="P778" si="975">IF(F776="",0,1)</f>
        <v>0</v>
      </c>
      <c r="R778" s="185" t="str">
        <f t="shared" ref="R778" si="976">E778</f>
        <v/>
      </c>
      <c r="S778" s="185" t="str">
        <f t="shared" ref="S778" si="977">E779</f>
        <v/>
      </c>
      <c r="T778" s="185" t="str">
        <f t="shared" ref="T778" si="978">E780</f>
        <v/>
      </c>
      <c r="U778" s="185" t="str">
        <f t="shared" ref="U778" si="979">E781</f>
        <v/>
      </c>
      <c r="V778" s="185" t="str">
        <f t="shared" ref="V778" si="980">E782</f>
        <v/>
      </c>
      <c r="W778" s="185" t="str">
        <f t="shared" ref="W778" si="981">E783</f>
        <v/>
      </c>
      <c r="X778" s="185" t="str">
        <f t="shared" ref="X778" si="982">E784</f>
        <v/>
      </c>
      <c r="AA778" s="50"/>
      <c r="AD778" s="244"/>
      <c r="AE778" s="355" t="str">
        <f>IF(OR(AM778="",AM778=0,AJ778="",AG778=""),"",
(IF(AND(AF776=$P$4,AM778&lt;=$R$4),$V$4,0)+IF(AND(AF776=$P$5,AM778&lt;=$R$5),$V$5,0)+IF(AND(AF776=$P$6,AM778&lt;=$R$6),$V$6,0)+IF(AND(AF776=$P$7,AM778&lt;=$R$7),$V$7,0))
)</f>
        <v/>
      </c>
      <c r="AF778" s="153" t="s">
        <v>302</v>
      </c>
      <c r="AG778" s="598"/>
      <c r="AH778" s="599"/>
      <c r="AI778" s="600"/>
      <c r="AJ778" s="598"/>
      <c r="AK778" s="599"/>
      <c r="AL778" s="600"/>
      <c r="AM778" s="384"/>
      <c r="AN778" s="256"/>
      <c r="AO778" s="388"/>
      <c r="AP778" s="185">
        <f t="shared" ref="AP778" si="983">IF(AF776="",0,1)</f>
        <v>0</v>
      </c>
      <c r="AR778" s="185" t="str">
        <f t="shared" ref="AR778" si="984">AE778</f>
        <v/>
      </c>
      <c r="AS778" s="185" t="str">
        <f t="shared" ref="AS778" si="985">AE779</f>
        <v/>
      </c>
      <c r="AT778" s="185" t="str">
        <f t="shared" ref="AT778" si="986">AE780</f>
        <v/>
      </c>
      <c r="AU778" s="185" t="str">
        <f t="shared" ref="AU778" si="987">AE781</f>
        <v/>
      </c>
      <c r="AV778" s="185" t="str">
        <f t="shared" ref="AV778" si="988">AE782</f>
        <v/>
      </c>
      <c r="AW778" s="185" t="str">
        <f t="shared" ref="AW778" si="989">AE783</f>
        <v/>
      </c>
      <c r="AX778" s="185" t="str">
        <f t="shared" ref="AX778" si="990">AE784</f>
        <v/>
      </c>
    </row>
    <row r="779" spans="4:50" x14ac:dyDescent="0.3">
      <c r="D779" s="244"/>
      <c r="E779" s="341" t="str">
        <f>IF(OR(M779="",M779=0,J779="",G779=""),"",
(IF(AND(F776=$P$4,M779&lt;=$R$4),$V$4,0)+IF(AND(F776=$P$5,M779&lt;=$R$5),$V$5,0)+IF(AND(F776=$P$6,M779&lt;=$R$6),$V$6,0)+IF(AND(F776=$P$7,M779&lt;=$R$7),$V$7,0))
)</f>
        <v/>
      </c>
      <c r="F779" s="153" t="s">
        <v>303</v>
      </c>
      <c r="G779" s="616"/>
      <c r="H779" s="617"/>
      <c r="I779" s="618"/>
      <c r="J779" s="616"/>
      <c r="K779" s="617"/>
      <c r="L779" s="618"/>
      <c r="M779" s="255"/>
      <c r="N779" s="256"/>
      <c r="O779" s="388"/>
      <c r="AA779" s="50"/>
      <c r="AD779" s="244"/>
      <c r="AE779" s="341" t="str">
        <f>IF(OR(AM779="",AM779=0,AJ779="",AG779=""),"",
(IF(AND(AF776=$P$4,AM779&lt;=$R$4),$V$4,0)+IF(AND(AF776=$P$5,AM779&lt;=$R$5),$V$5,0)+IF(AND(AF776=$P$6,AM779&lt;=$R$6),$V$6,0)+IF(AND(AF776=$P$7,AM779&lt;=$R$7),$V$7,0))
)</f>
        <v/>
      </c>
      <c r="AF779" s="153" t="s">
        <v>303</v>
      </c>
      <c r="AG779" s="598"/>
      <c r="AH779" s="599"/>
      <c r="AI779" s="600"/>
      <c r="AJ779" s="598"/>
      <c r="AK779" s="599"/>
      <c r="AL779" s="600"/>
      <c r="AM779" s="384"/>
      <c r="AN779" s="256"/>
      <c r="AO779" s="388"/>
    </row>
    <row r="780" spans="4:50" ht="15" customHeight="1" x14ac:dyDescent="0.3">
      <c r="D780" s="244"/>
      <c r="E780" s="341" t="str">
        <f>IF(OR(M780="",M780=0,J780="",G780=""),"",
(IF(AND(F776=$P$4,M780&lt;=$R$4),$V$4,0)+IF(AND(F776=$P$5,M780&lt;=$R$5),$V$5,0)+IF(AND(F776=$P$6,M780&lt;=$R$6),$V$6,0)+IF(AND(F776=$P$7,M780&lt;=$R$7),$V$7,0))
)</f>
        <v/>
      </c>
      <c r="F780" s="153" t="s">
        <v>304</v>
      </c>
      <c r="G780" s="616"/>
      <c r="H780" s="617"/>
      <c r="I780" s="618"/>
      <c r="J780" s="616"/>
      <c r="K780" s="617"/>
      <c r="L780" s="618"/>
      <c r="M780" s="255"/>
      <c r="N780" s="256"/>
      <c r="O780" s="388"/>
      <c r="AA780" s="50"/>
      <c r="AD780" s="244"/>
      <c r="AE780" s="341" t="str">
        <f>IF(OR(AM780="",AM780=0,AJ780="",AG780=""),"",
(IF(AND(AF776=$P$4,AM780&lt;=$R$4),$V$4,0)+IF(AND(AF776=$P$5,AM780&lt;=$R$5),$V$5,0)+IF(AND(AF776=$P$6,AM780&lt;=$R$6),$V$6,0)+IF(AND(AF776=$P$7,AM780&lt;=$R$7),$V$7,0))
)</f>
        <v/>
      </c>
      <c r="AF780" s="153" t="s">
        <v>304</v>
      </c>
      <c r="AG780" s="598"/>
      <c r="AH780" s="599"/>
      <c r="AI780" s="600"/>
      <c r="AJ780" s="598"/>
      <c r="AK780" s="599"/>
      <c r="AL780" s="600"/>
      <c r="AM780" s="384"/>
      <c r="AN780" s="256"/>
      <c r="AO780" s="388"/>
    </row>
    <row r="781" spans="4:50" ht="15" customHeight="1" x14ac:dyDescent="0.3">
      <c r="D781" s="244"/>
      <c r="E781" s="341" t="str">
        <f>IF(OR(M781="",M781=0,J781="",G781=""),"",
(IF(AND(F776=$P$4,M781&lt;=$R$4),$V$4,0)+IF(AND(F776=$P$5,M781&lt;=$R$5),$V$5,0)+IF(AND(F776=$P$6,M781&lt;=$R$6),$V$6,0)+IF(AND(F776=$P$7,M781&lt;=$R$7),$V$7,0))
)</f>
        <v/>
      </c>
      <c r="F781" s="153" t="s">
        <v>305</v>
      </c>
      <c r="G781" s="616"/>
      <c r="H781" s="617"/>
      <c r="I781" s="618"/>
      <c r="J781" s="616"/>
      <c r="K781" s="617"/>
      <c r="L781" s="618"/>
      <c r="M781" s="255"/>
      <c r="N781" s="256"/>
      <c r="O781" s="388"/>
      <c r="AA781" s="50"/>
      <c r="AD781" s="244"/>
      <c r="AE781" s="341" t="str">
        <f>IF(OR(AM781="",AM781=0,AJ781="",AG781=""),"",
(IF(AND(AF776=$P$4,AM781&lt;=$R$4),$V$4,0)+IF(AND(AF776=$P$5,AM781&lt;=$R$5),$V$5,0)+IF(AND(AF776=$P$6,AM781&lt;=$R$6),$V$6,0)+IF(AND(AF776=$P$7,AM781&lt;=$R$7),$V$7,0))
)</f>
        <v/>
      </c>
      <c r="AF781" s="153" t="s">
        <v>305</v>
      </c>
      <c r="AG781" s="598"/>
      <c r="AH781" s="599"/>
      <c r="AI781" s="600"/>
      <c r="AJ781" s="598"/>
      <c r="AK781" s="599"/>
      <c r="AL781" s="600"/>
      <c r="AM781" s="384"/>
      <c r="AN781" s="256"/>
      <c r="AO781" s="388"/>
    </row>
    <row r="782" spans="4:50" ht="15" customHeight="1" x14ac:dyDescent="0.3">
      <c r="D782" s="244"/>
      <c r="E782" s="341" t="str">
        <f>IF(OR(M782="",M782=0,J782="",G782=""),"",
(IF(AND(F776=$P$4,M782&lt;=$R$4),$V$4,0)+IF(AND(F776=$P$5,M782&lt;=$R$5),$V$5,0)+IF(AND(F776=$P$6,M782&lt;=$R$6),$V$6,0)+IF(AND(F776=$P$7,M782&lt;=$R$7),$V$7,0))
)</f>
        <v/>
      </c>
      <c r="F782" s="153" t="s">
        <v>306</v>
      </c>
      <c r="G782" s="616"/>
      <c r="H782" s="617"/>
      <c r="I782" s="618"/>
      <c r="J782" s="616"/>
      <c r="K782" s="617"/>
      <c r="L782" s="618"/>
      <c r="M782" s="255"/>
      <c r="N782" s="256"/>
      <c r="O782" s="388"/>
      <c r="AA782" s="50"/>
      <c r="AD782" s="244"/>
      <c r="AE782" s="341" t="str">
        <f>IF(OR(AM782="",AM782=0,AJ782="",AG782=""),"",
(IF(AND(AF776=$P$4,AM782&lt;=$R$4),$V$4,0)+IF(AND(AF776=$P$5,AM782&lt;=$R$5),$V$5,0)+IF(AND(AF776=$P$6,AM782&lt;=$R$6),$V$6,0)+IF(AND(AF776=$P$7,AM782&lt;=$R$7),$V$7,0))
)</f>
        <v/>
      </c>
      <c r="AF782" s="153" t="s">
        <v>306</v>
      </c>
      <c r="AG782" s="598"/>
      <c r="AH782" s="599"/>
      <c r="AI782" s="600"/>
      <c r="AJ782" s="598"/>
      <c r="AK782" s="599"/>
      <c r="AL782" s="600"/>
      <c r="AM782" s="384"/>
      <c r="AN782" s="256"/>
      <c r="AO782" s="388"/>
    </row>
    <row r="783" spans="4:50" ht="15" customHeight="1" x14ac:dyDescent="0.3">
      <c r="D783" s="244"/>
      <c r="E783" s="341" t="str">
        <f>IF(OR(M783="",M783=0,J783="",G783=""),"",
(IF(AND(F776=$P$4,M783&lt;=$R$4),$V$4,0)+IF(AND(F776=$P$5,M783&lt;=$R$5),$V$5,0)+IF(AND(F776=$P$6,M783&lt;=$R$6),$V$6,0)+IF(AND(F776=$P$7,M783&lt;=$R$7),$V$7,0))
)</f>
        <v/>
      </c>
      <c r="F783" s="153" t="s">
        <v>307</v>
      </c>
      <c r="G783" s="616"/>
      <c r="H783" s="617"/>
      <c r="I783" s="618"/>
      <c r="J783" s="616"/>
      <c r="K783" s="617"/>
      <c r="L783" s="618"/>
      <c r="M783" s="255"/>
      <c r="N783" s="256"/>
      <c r="O783" s="388"/>
      <c r="AA783" s="50"/>
      <c r="AD783" s="244"/>
      <c r="AE783" s="341" t="str">
        <f>IF(OR(AM783="",AM783=0,AJ783="",AG783=""),"",
(IF(AND(AF776=$P$4,AM783&lt;=$R$4),$V$4,0)+IF(AND(AF776=$P$5,AM783&lt;=$R$5),$V$5,0)+IF(AND(AF776=$P$6,AM783&lt;=$R$6),$V$6,0)+IF(AND(AF776=$P$7,AM783&lt;=$R$7),$V$7,0))
)</f>
        <v/>
      </c>
      <c r="AF783" s="153" t="s">
        <v>307</v>
      </c>
      <c r="AG783" s="598"/>
      <c r="AH783" s="599"/>
      <c r="AI783" s="600"/>
      <c r="AJ783" s="598"/>
      <c r="AK783" s="599"/>
      <c r="AL783" s="600"/>
      <c r="AM783" s="384"/>
      <c r="AN783" s="256"/>
      <c r="AO783" s="388"/>
    </row>
    <row r="784" spans="4:50" ht="15" customHeight="1" x14ac:dyDescent="0.3">
      <c r="D784" s="244"/>
      <c r="E784" s="341" t="str">
        <f>IF(OR(M784="",M784=0,J784="",G784=""),"",
(IF(AND(F776=$P$4,M784&lt;=$R$4),$V$4,0)+IF(AND(F776=$P$5,M784&lt;=$R$5),$V$5,0)+IF(AND(F776=$P$6,M784&lt;=$R$6),$V$6,0)+IF(AND(F776=$P$7,M784&lt;=$R$7),$V$7,0))
)</f>
        <v/>
      </c>
      <c r="F784" s="153" t="s">
        <v>308</v>
      </c>
      <c r="G784" s="616"/>
      <c r="H784" s="617"/>
      <c r="I784" s="618"/>
      <c r="J784" s="616"/>
      <c r="K784" s="617"/>
      <c r="L784" s="618"/>
      <c r="M784" s="255"/>
      <c r="N784" s="256"/>
      <c r="O784" s="388"/>
      <c r="AA784" s="50"/>
      <c r="AD784" s="244"/>
      <c r="AE784" s="341" t="str">
        <f>IF(OR(AM784="",AM784=0,AJ784="",AG784=""),"",
(IF(AND(AF776=$P$4,AM784&lt;=$R$4),$V$4,0)+IF(AND(AF776=$P$5,AM784&lt;=$R$5),$V$5,0)+IF(AND(AF776=$P$6,AM784&lt;=$R$6),$V$6,0)+IF(AND(AF776=$P$7,AM784&lt;=$R$7),$V$7,0))
)</f>
        <v/>
      </c>
      <c r="AF784" s="153" t="s">
        <v>308</v>
      </c>
      <c r="AG784" s="598"/>
      <c r="AH784" s="599"/>
      <c r="AI784" s="600"/>
      <c r="AJ784" s="598"/>
      <c r="AK784" s="599"/>
      <c r="AL784" s="600"/>
      <c r="AM784" s="384"/>
      <c r="AN784" s="256"/>
      <c r="AO784" s="388"/>
    </row>
    <row r="785" spans="4:50" ht="15" customHeight="1" thickBot="1" x14ac:dyDescent="0.35">
      <c r="D785" s="203"/>
      <c r="E785" s="3"/>
      <c r="F785" s="3"/>
      <c r="G785" s="3"/>
      <c r="H785" s="3"/>
      <c r="I785" s="3"/>
      <c r="J785" s="3"/>
      <c r="K785" s="3"/>
      <c r="L785" s="3"/>
      <c r="M785" s="3"/>
      <c r="N785" s="204"/>
      <c r="P785" s="2"/>
      <c r="AA785" s="50"/>
      <c r="AD785" s="203"/>
      <c r="AE785" s="3"/>
      <c r="AF785" s="3"/>
      <c r="AG785" s="3"/>
      <c r="AH785" s="3"/>
      <c r="AI785" s="3"/>
      <c r="AJ785" s="3"/>
      <c r="AK785" s="3"/>
      <c r="AL785" s="3"/>
      <c r="AM785" s="3"/>
      <c r="AN785" s="204"/>
      <c r="AP785" s="2"/>
    </row>
    <row r="786" spans="4:50" ht="15" customHeight="1" x14ac:dyDescent="0.3">
      <c r="D786" s="601" t="str">
        <f>IF(
OR(
OR(F788=$P$4,F788=$P$5,F788=$P$6,F788=$P$7),AND(G790="",G791="",G792="",G793="",G794="",G795="",G796="",J790="",J791="",J792="",J793="",J794="",J795="",J796="",M790="",M791="",M792="",M793="",M794="",M795="",M796="",K787="",K788="")
),
"",
"A Set-Aside must be selected."
)</f>
        <v/>
      </c>
      <c r="E786" s="602"/>
      <c r="F786" s="602"/>
      <c r="G786" s="602"/>
      <c r="H786" s="602"/>
      <c r="I786" s="602"/>
      <c r="J786" s="602"/>
      <c r="K786" s="602"/>
      <c r="L786" s="602"/>
      <c r="M786" s="602"/>
      <c r="N786" s="603"/>
      <c r="O786" s="2"/>
      <c r="AA786" s="50"/>
      <c r="AD786" s="601" t="str">
        <f>IF(
OR(
OR(AF788=$P$4,AF788=$P$5,AF788=$P$6,AF788=$P$7),AND(AG790="",AG791="",AG792="",AG793="",AG794="",AG795="",AG796="",AJ790="",AJ791="",AJ792="",AJ793="",AJ794="",AJ795="",AJ796="",AM790="",AM791="",AM792="",AM793="",AM794="",AM795="",AM796="",AK787="",AK788="")
),
"",
"A Set-Aside must be selected."
)</f>
        <v/>
      </c>
      <c r="AE786" s="602"/>
      <c r="AF786" s="602"/>
      <c r="AG786" s="602"/>
      <c r="AH786" s="602"/>
      <c r="AI786" s="602"/>
      <c r="AJ786" s="602"/>
      <c r="AK786" s="602"/>
      <c r="AL786" s="602"/>
      <c r="AM786" s="602"/>
      <c r="AN786" s="603"/>
      <c r="AO786" s="2"/>
    </row>
    <row r="787" spans="4:50" ht="15" customHeight="1" x14ac:dyDescent="0.3">
      <c r="D787" s="199"/>
      <c r="E787" s="9" t="s">
        <v>30</v>
      </c>
      <c r="F787" s="86">
        <f>F775+1</f>
        <v>63</v>
      </c>
      <c r="G787" s="9" t="s">
        <v>175</v>
      </c>
      <c r="H787" s="9"/>
      <c r="I787" s="9"/>
      <c r="J787" s="168" t="s">
        <v>111</v>
      </c>
      <c r="K787" s="148"/>
      <c r="N787" s="200"/>
      <c r="R787" s="596" t="s">
        <v>302</v>
      </c>
      <c r="S787" s="596" t="s">
        <v>303</v>
      </c>
      <c r="T787" s="596" t="s">
        <v>304</v>
      </c>
      <c r="U787" s="596" t="s">
        <v>305</v>
      </c>
      <c r="V787" s="596" t="s">
        <v>306</v>
      </c>
      <c r="W787" s="596" t="s">
        <v>307</v>
      </c>
      <c r="X787" s="596" t="s">
        <v>308</v>
      </c>
      <c r="AA787" s="50"/>
      <c r="AD787" s="199"/>
      <c r="AE787" s="9" t="s">
        <v>30</v>
      </c>
      <c r="AF787" s="86">
        <f>AF775+1</f>
        <v>63</v>
      </c>
      <c r="AG787" s="9" t="s">
        <v>175</v>
      </c>
      <c r="AH787" s="9"/>
      <c r="AI787" s="9"/>
      <c r="AJ787" s="168" t="s">
        <v>111</v>
      </c>
      <c r="AK787" s="382"/>
      <c r="AN787" s="200"/>
      <c r="AR787" s="596" t="s">
        <v>302</v>
      </c>
      <c r="AS787" s="596" t="s">
        <v>303</v>
      </c>
      <c r="AT787" s="596" t="s">
        <v>304</v>
      </c>
      <c r="AU787" s="596" t="s">
        <v>305</v>
      </c>
      <c r="AV787" s="596" t="s">
        <v>306</v>
      </c>
      <c r="AW787" s="596" t="s">
        <v>307</v>
      </c>
      <c r="AX787" s="596" t="s">
        <v>308</v>
      </c>
    </row>
    <row r="788" spans="4:50" x14ac:dyDescent="0.3">
      <c r="D788" s="604" t="s">
        <v>31</v>
      </c>
      <c r="E788" s="594"/>
      <c r="F788" s="151"/>
      <c r="G788" s="86" t="str">
        <f>IF(F788=$P$4,$Q$4,IF(F788=$P$5,$Q$5,IF(F788=$P$6,$Q$6,IF(F788=$P$7,Q$7,IF(F788=$P$8,"","")))))</f>
        <v/>
      </c>
      <c r="H788" s="201"/>
      <c r="I788" s="201"/>
      <c r="J788" s="168" t="s">
        <v>112</v>
      </c>
      <c r="K788" s="148"/>
      <c r="N788" s="200"/>
      <c r="R788" s="596"/>
      <c r="S788" s="596"/>
      <c r="T788" s="596"/>
      <c r="U788" s="596"/>
      <c r="V788" s="596"/>
      <c r="W788" s="596"/>
      <c r="X788" s="596"/>
      <c r="AA788" s="50"/>
      <c r="AD788" s="604" t="s">
        <v>31</v>
      </c>
      <c r="AE788" s="594"/>
      <c r="AF788" s="383"/>
      <c r="AG788" s="86" t="str">
        <f>IF(AF788=$P$4,$Q$4,IF(AF788=$P$5,$Q$5,IF(AF788=$P$6,$Q$6,IF(AF788=$P$7,AQ$7,IF(AF788=$P$8,"","")))))</f>
        <v/>
      </c>
      <c r="AH788" s="201"/>
      <c r="AI788" s="201"/>
      <c r="AJ788" s="168" t="s">
        <v>112</v>
      </c>
      <c r="AK788" s="382"/>
      <c r="AN788" s="200"/>
      <c r="AR788" s="596"/>
      <c r="AS788" s="596"/>
      <c r="AT788" s="596"/>
      <c r="AU788" s="596"/>
      <c r="AV788" s="596"/>
      <c r="AW788" s="596"/>
      <c r="AX788" s="596"/>
    </row>
    <row r="789" spans="4:50" x14ac:dyDescent="0.3">
      <c r="D789" s="244"/>
      <c r="E789" s="230" t="s">
        <v>52</v>
      </c>
      <c r="F789" s="9" t="s">
        <v>32</v>
      </c>
      <c r="G789" s="9" t="s">
        <v>33</v>
      </c>
      <c r="H789" s="9"/>
      <c r="I789" s="9"/>
      <c r="J789" s="9" t="s">
        <v>34</v>
      </c>
      <c r="K789" s="9"/>
      <c r="L789" s="9"/>
      <c r="M789" s="257" t="s">
        <v>35</v>
      </c>
      <c r="N789" s="202"/>
      <c r="O789" s="9"/>
      <c r="P789" s="198" t="s">
        <v>22</v>
      </c>
      <c r="Q789" s="198"/>
      <c r="R789" s="596"/>
      <c r="S789" s="596"/>
      <c r="T789" s="596"/>
      <c r="U789" s="596"/>
      <c r="V789" s="596"/>
      <c r="W789" s="596"/>
      <c r="X789" s="596"/>
      <c r="AA789" s="50"/>
      <c r="AD789" s="244"/>
      <c r="AE789" s="230" t="s">
        <v>52</v>
      </c>
      <c r="AF789" s="9" t="s">
        <v>32</v>
      </c>
      <c r="AG789" s="9" t="s">
        <v>33</v>
      </c>
      <c r="AH789" s="9"/>
      <c r="AI789" s="9"/>
      <c r="AJ789" s="9" t="s">
        <v>34</v>
      </c>
      <c r="AK789" s="9"/>
      <c r="AL789" s="9"/>
      <c r="AM789" s="257" t="s">
        <v>35</v>
      </c>
      <c r="AN789" s="202"/>
      <c r="AO789" s="9"/>
      <c r="AP789" s="198" t="s">
        <v>22</v>
      </c>
      <c r="AQ789" s="198"/>
      <c r="AR789" s="596"/>
      <c r="AS789" s="596"/>
      <c r="AT789" s="596"/>
      <c r="AU789" s="596"/>
      <c r="AV789" s="596"/>
      <c r="AW789" s="596"/>
      <c r="AX789" s="596"/>
    </row>
    <row r="790" spans="4:50" x14ac:dyDescent="0.3">
      <c r="D790" s="244"/>
      <c r="E790" s="355" t="str">
        <f>IF(OR(M790="",M790=0,J790="",G790=""),"",
(IF(AND(F788=$P$4,M790&lt;=$R$4),$V$4,0)+IF(AND(F788=$P$5,M790&lt;=$R$5),$V$5,0)+IF(AND(F788=$P$6,M790&lt;=$R$6),$V$6,0)+IF(AND(F788=$P$7,M790&lt;=$R$7),$V$7,0))
)</f>
        <v/>
      </c>
      <c r="F790" s="153" t="s">
        <v>302</v>
      </c>
      <c r="G790" s="616"/>
      <c r="H790" s="617"/>
      <c r="I790" s="618"/>
      <c r="J790" s="616"/>
      <c r="K790" s="617"/>
      <c r="L790" s="618"/>
      <c r="M790" s="255"/>
      <c r="N790" s="256"/>
      <c r="O790" s="388"/>
      <c r="P790" s="185">
        <f t="shared" ref="P790" si="991">IF(F788="",0,1)</f>
        <v>0</v>
      </c>
      <c r="R790" s="185" t="str">
        <f t="shared" ref="R790" si="992">E790</f>
        <v/>
      </c>
      <c r="S790" s="185" t="str">
        <f t="shared" ref="S790" si="993">E791</f>
        <v/>
      </c>
      <c r="T790" s="185" t="str">
        <f t="shared" ref="T790" si="994">E792</f>
        <v/>
      </c>
      <c r="U790" s="185" t="str">
        <f t="shared" ref="U790" si="995">E793</f>
        <v/>
      </c>
      <c r="V790" s="185" t="str">
        <f t="shared" ref="V790" si="996">E794</f>
        <v/>
      </c>
      <c r="W790" s="185" t="str">
        <f t="shared" ref="W790" si="997">E795</f>
        <v/>
      </c>
      <c r="X790" s="185" t="str">
        <f t="shared" ref="X790" si="998">E796</f>
        <v/>
      </c>
      <c r="AA790" s="50"/>
      <c r="AD790" s="244"/>
      <c r="AE790" s="355" t="str">
        <f>IF(OR(AM790="",AM790=0,AJ790="",AG790=""),"",
(IF(AND(AF788=$P$4,AM790&lt;=$R$4),$V$4,0)+IF(AND(AF788=$P$5,AM790&lt;=$R$5),$V$5,0)+IF(AND(AF788=$P$6,AM790&lt;=$R$6),$V$6,0)+IF(AND(AF788=$P$7,AM790&lt;=$R$7),$V$7,0))
)</f>
        <v/>
      </c>
      <c r="AF790" s="153" t="s">
        <v>302</v>
      </c>
      <c r="AG790" s="598"/>
      <c r="AH790" s="599"/>
      <c r="AI790" s="600"/>
      <c r="AJ790" s="598"/>
      <c r="AK790" s="599"/>
      <c r="AL790" s="600"/>
      <c r="AM790" s="384"/>
      <c r="AN790" s="256"/>
      <c r="AO790" s="388"/>
      <c r="AP790" s="185">
        <f t="shared" ref="AP790" si="999">IF(AF788="",0,1)</f>
        <v>0</v>
      </c>
      <c r="AR790" s="185" t="str">
        <f t="shared" ref="AR790" si="1000">AE790</f>
        <v/>
      </c>
      <c r="AS790" s="185" t="str">
        <f t="shared" ref="AS790" si="1001">AE791</f>
        <v/>
      </c>
      <c r="AT790" s="185" t="str">
        <f t="shared" ref="AT790" si="1002">AE792</f>
        <v/>
      </c>
      <c r="AU790" s="185" t="str">
        <f t="shared" ref="AU790" si="1003">AE793</f>
        <v/>
      </c>
      <c r="AV790" s="185" t="str">
        <f t="shared" ref="AV790" si="1004">AE794</f>
        <v/>
      </c>
      <c r="AW790" s="185" t="str">
        <f t="shared" ref="AW790" si="1005">AE795</f>
        <v/>
      </c>
      <c r="AX790" s="185" t="str">
        <f t="shared" ref="AX790" si="1006">AE796</f>
        <v/>
      </c>
    </row>
    <row r="791" spans="4:50" x14ac:dyDescent="0.3">
      <c r="D791" s="244"/>
      <c r="E791" s="341" t="str">
        <f>IF(OR(M791="",M791=0,J791="",G791=""),"",
(IF(AND(F788=$P$4,M791&lt;=$R$4),$V$4,0)+IF(AND(F788=$P$5,M791&lt;=$R$5),$V$5,0)+IF(AND(F788=$P$6,M791&lt;=$R$6),$V$6,0)+IF(AND(F788=$P$7,M791&lt;=$R$7),$V$7,0))
)</f>
        <v/>
      </c>
      <c r="F791" s="153" t="s">
        <v>303</v>
      </c>
      <c r="G791" s="616"/>
      <c r="H791" s="617"/>
      <c r="I791" s="618"/>
      <c r="J791" s="616"/>
      <c r="K791" s="617"/>
      <c r="L791" s="618"/>
      <c r="M791" s="255"/>
      <c r="N791" s="256"/>
      <c r="O791" s="388"/>
      <c r="AA791" s="50"/>
      <c r="AD791" s="244"/>
      <c r="AE791" s="341" t="str">
        <f>IF(OR(AM791="",AM791=0,AJ791="",AG791=""),"",
(IF(AND(AF788=$P$4,AM791&lt;=$R$4),$V$4,0)+IF(AND(AF788=$P$5,AM791&lt;=$R$5),$V$5,0)+IF(AND(AF788=$P$6,AM791&lt;=$R$6),$V$6,0)+IF(AND(AF788=$P$7,AM791&lt;=$R$7),$V$7,0))
)</f>
        <v/>
      </c>
      <c r="AF791" s="153" t="s">
        <v>303</v>
      </c>
      <c r="AG791" s="598"/>
      <c r="AH791" s="599"/>
      <c r="AI791" s="600"/>
      <c r="AJ791" s="598"/>
      <c r="AK791" s="599"/>
      <c r="AL791" s="600"/>
      <c r="AM791" s="384"/>
      <c r="AN791" s="256"/>
      <c r="AO791" s="388"/>
    </row>
    <row r="792" spans="4:50" ht="15.75" customHeight="1" x14ac:dyDescent="0.3">
      <c r="D792" s="244"/>
      <c r="E792" s="341" t="str">
        <f>IF(OR(M792="",M792=0,J792="",G792=""),"",
(IF(AND(F788=$P$4,M792&lt;=$R$4),$V$4,0)+IF(AND(F788=$P$5,M792&lt;=$R$5),$V$5,0)+IF(AND(F788=$P$6,M792&lt;=$R$6),$V$6,0)+IF(AND(F788=$P$7,M792&lt;=$R$7),$V$7,0))
)</f>
        <v/>
      </c>
      <c r="F792" s="153" t="s">
        <v>304</v>
      </c>
      <c r="G792" s="616"/>
      <c r="H792" s="617"/>
      <c r="I792" s="618"/>
      <c r="J792" s="616"/>
      <c r="K792" s="617"/>
      <c r="L792" s="618"/>
      <c r="M792" s="255"/>
      <c r="N792" s="256"/>
      <c r="O792" s="388"/>
      <c r="AA792" s="50"/>
      <c r="AD792" s="244"/>
      <c r="AE792" s="341" t="str">
        <f>IF(OR(AM792="",AM792=0,AJ792="",AG792=""),"",
(IF(AND(AF788=$P$4,AM792&lt;=$R$4),$V$4,0)+IF(AND(AF788=$P$5,AM792&lt;=$R$5),$V$5,0)+IF(AND(AF788=$P$6,AM792&lt;=$R$6),$V$6,0)+IF(AND(AF788=$P$7,AM792&lt;=$R$7),$V$7,0))
)</f>
        <v/>
      </c>
      <c r="AF792" s="153" t="s">
        <v>304</v>
      </c>
      <c r="AG792" s="598"/>
      <c r="AH792" s="599"/>
      <c r="AI792" s="600"/>
      <c r="AJ792" s="598"/>
      <c r="AK792" s="599"/>
      <c r="AL792" s="600"/>
      <c r="AM792" s="384"/>
      <c r="AN792" s="256"/>
      <c r="AO792" s="388"/>
    </row>
    <row r="793" spans="4:50" x14ac:dyDescent="0.3">
      <c r="D793" s="244"/>
      <c r="E793" s="341" t="str">
        <f>IF(OR(M793="",M793=0,J793="",G793=""),"",
(IF(AND(F788=$P$4,M793&lt;=$R$4),$V$4,0)+IF(AND(F788=$P$5,M793&lt;=$R$5),$V$5,0)+IF(AND(F788=$P$6,M793&lt;=$R$6),$V$6,0)+IF(AND(F788=$P$7,M793&lt;=$R$7),$V$7,0))
)</f>
        <v/>
      </c>
      <c r="F793" s="153" t="s">
        <v>305</v>
      </c>
      <c r="G793" s="616"/>
      <c r="H793" s="617"/>
      <c r="I793" s="618"/>
      <c r="J793" s="616"/>
      <c r="K793" s="617"/>
      <c r="L793" s="618"/>
      <c r="M793" s="255"/>
      <c r="N793" s="256"/>
      <c r="O793" s="388"/>
      <c r="AA793" s="50"/>
      <c r="AD793" s="244"/>
      <c r="AE793" s="341" t="str">
        <f>IF(OR(AM793="",AM793=0,AJ793="",AG793=""),"",
(IF(AND(AF788=$P$4,AM793&lt;=$R$4),$V$4,0)+IF(AND(AF788=$P$5,AM793&lt;=$R$5),$V$5,0)+IF(AND(AF788=$P$6,AM793&lt;=$R$6),$V$6,0)+IF(AND(AF788=$P$7,AM793&lt;=$R$7),$V$7,0))
)</f>
        <v/>
      </c>
      <c r="AF793" s="153" t="s">
        <v>305</v>
      </c>
      <c r="AG793" s="598"/>
      <c r="AH793" s="599"/>
      <c r="AI793" s="600"/>
      <c r="AJ793" s="598"/>
      <c r="AK793" s="599"/>
      <c r="AL793" s="600"/>
      <c r="AM793" s="384"/>
      <c r="AN793" s="256"/>
      <c r="AO793" s="388"/>
    </row>
    <row r="794" spans="4:50" ht="15" customHeight="1" x14ac:dyDescent="0.3">
      <c r="D794" s="244"/>
      <c r="E794" s="341" t="str">
        <f>IF(OR(M794="",M794=0,J794="",G794=""),"",
(IF(AND(F788=$P$4,M794&lt;=$R$4),$V$4,0)+IF(AND(F788=$P$5,M794&lt;=$R$5),$V$5,0)+IF(AND(F788=$P$6,M794&lt;=$R$6),$V$6,0)+IF(AND(F788=$P$7,M794&lt;=$R$7),$V$7,0))
)</f>
        <v/>
      </c>
      <c r="F794" s="153" t="s">
        <v>306</v>
      </c>
      <c r="G794" s="616"/>
      <c r="H794" s="617"/>
      <c r="I794" s="618"/>
      <c r="J794" s="616"/>
      <c r="K794" s="617"/>
      <c r="L794" s="618"/>
      <c r="M794" s="255"/>
      <c r="N794" s="256"/>
      <c r="O794" s="388"/>
      <c r="AA794" s="50"/>
      <c r="AD794" s="244"/>
      <c r="AE794" s="341" t="str">
        <f>IF(OR(AM794="",AM794=0,AJ794="",AG794=""),"",
(IF(AND(AF788=$P$4,AM794&lt;=$R$4),$V$4,0)+IF(AND(AF788=$P$5,AM794&lt;=$R$5),$V$5,0)+IF(AND(AF788=$P$6,AM794&lt;=$R$6),$V$6,0)+IF(AND(AF788=$P$7,AM794&lt;=$R$7),$V$7,0))
)</f>
        <v/>
      </c>
      <c r="AF794" s="153" t="s">
        <v>306</v>
      </c>
      <c r="AG794" s="598"/>
      <c r="AH794" s="599"/>
      <c r="AI794" s="600"/>
      <c r="AJ794" s="598"/>
      <c r="AK794" s="599"/>
      <c r="AL794" s="600"/>
      <c r="AM794" s="384"/>
      <c r="AN794" s="256"/>
      <c r="AO794" s="388"/>
    </row>
    <row r="795" spans="4:50" ht="15" customHeight="1" x14ac:dyDescent="0.3">
      <c r="D795" s="244"/>
      <c r="E795" s="341" t="str">
        <f>IF(OR(M795="",M795=0,J795="",G795=""),"",
(IF(AND(F788=$P$4,M795&lt;=$R$4),$V$4,0)+IF(AND(F788=$P$5,M795&lt;=$R$5),$V$5,0)+IF(AND(F788=$P$6,M795&lt;=$R$6),$V$6,0)+IF(AND(F788=$P$7,M795&lt;=$R$7),$V$7,0))
)</f>
        <v/>
      </c>
      <c r="F795" s="153" t="s">
        <v>307</v>
      </c>
      <c r="G795" s="616"/>
      <c r="H795" s="617"/>
      <c r="I795" s="618"/>
      <c r="J795" s="616"/>
      <c r="K795" s="617"/>
      <c r="L795" s="618"/>
      <c r="M795" s="255"/>
      <c r="N795" s="256"/>
      <c r="O795" s="388"/>
      <c r="AA795" s="50"/>
      <c r="AD795" s="244"/>
      <c r="AE795" s="341" t="str">
        <f>IF(OR(AM795="",AM795=0,AJ795="",AG795=""),"",
(IF(AND(AF788=$P$4,AM795&lt;=$R$4),$V$4,0)+IF(AND(AF788=$P$5,AM795&lt;=$R$5),$V$5,0)+IF(AND(AF788=$P$6,AM795&lt;=$R$6),$V$6,0)+IF(AND(AF788=$P$7,AM795&lt;=$R$7),$V$7,0))
)</f>
        <v/>
      </c>
      <c r="AF795" s="153" t="s">
        <v>307</v>
      </c>
      <c r="AG795" s="598"/>
      <c r="AH795" s="599"/>
      <c r="AI795" s="600"/>
      <c r="AJ795" s="598"/>
      <c r="AK795" s="599"/>
      <c r="AL795" s="600"/>
      <c r="AM795" s="384"/>
      <c r="AN795" s="256"/>
      <c r="AO795" s="388"/>
    </row>
    <row r="796" spans="4:50" ht="15" customHeight="1" x14ac:dyDescent="0.3">
      <c r="D796" s="244"/>
      <c r="E796" s="341" t="str">
        <f>IF(OR(M796="",M796=0,J796="",G796=""),"",
(IF(AND(F788=$P$4,M796&lt;=$R$4),$V$4,0)+IF(AND(F788=$P$5,M796&lt;=$R$5),$V$5,0)+IF(AND(F788=$P$6,M796&lt;=$R$6),$V$6,0)+IF(AND(F788=$P$7,M796&lt;=$R$7),$V$7,0))
)</f>
        <v/>
      </c>
      <c r="F796" s="153" t="s">
        <v>308</v>
      </c>
      <c r="G796" s="616"/>
      <c r="H796" s="617"/>
      <c r="I796" s="618"/>
      <c r="J796" s="616"/>
      <c r="K796" s="617"/>
      <c r="L796" s="618"/>
      <c r="M796" s="255"/>
      <c r="N796" s="256"/>
      <c r="O796" s="388"/>
      <c r="AA796" s="50"/>
      <c r="AD796" s="244"/>
      <c r="AE796" s="341" t="str">
        <f>IF(OR(AM796="",AM796=0,AJ796="",AG796=""),"",
(IF(AND(AF788=$P$4,AM796&lt;=$R$4),$V$4,0)+IF(AND(AF788=$P$5,AM796&lt;=$R$5),$V$5,0)+IF(AND(AF788=$P$6,AM796&lt;=$R$6),$V$6,0)+IF(AND(AF788=$P$7,AM796&lt;=$R$7),$V$7,0))
)</f>
        <v/>
      </c>
      <c r="AF796" s="153" t="s">
        <v>308</v>
      </c>
      <c r="AG796" s="598"/>
      <c r="AH796" s="599"/>
      <c r="AI796" s="600"/>
      <c r="AJ796" s="598"/>
      <c r="AK796" s="599"/>
      <c r="AL796" s="600"/>
      <c r="AM796" s="384"/>
      <c r="AN796" s="256"/>
      <c r="AO796" s="388"/>
    </row>
    <row r="797" spans="4:50" ht="15" customHeight="1" thickBot="1" x14ac:dyDescent="0.35">
      <c r="D797" s="203"/>
      <c r="E797" s="3"/>
      <c r="F797" s="3"/>
      <c r="G797" s="3"/>
      <c r="H797" s="3"/>
      <c r="I797" s="3"/>
      <c r="J797" s="3"/>
      <c r="K797" s="3"/>
      <c r="L797" s="3"/>
      <c r="M797" s="3"/>
      <c r="N797" s="204"/>
      <c r="P797" s="2"/>
      <c r="AA797" s="50"/>
      <c r="AD797" s="203"/>
      <c r="AE797" s="3"/>
      <c r="AF797" s="3"/>
      <c r="AG797" s="3"/>
      <c r="AH797" s="3"/>
      <c r="AI797" s="3"/>
      <c r="AJ797" s="3"/>
      <c r="AK797" s="3"/>
      <c r="AL797" s="3"/>
      <c r="AM797" s="3"/>
      <c r="AN797" s="204"/>
      <c r="AP797" s="2"/>
    </row>
    <row r="798" spans="4:50" ht="16.350000000000001" customHeight="1" x14ac:dyDescent="0.3">
      <c r="D798" s="601" t="str">
        <f>IF(
OR(
OR(F800=$P$4,F800=$P$5,F800=$P$6,F800=$P$7),AND(G802="",G803="",G804="",G805="",G806="",G807="",G808="",J802="",J803="",J804="",J805="",J806="",J807="",J808="",M802="",M803="",M804="",M805="",M806="",M807="",M808="",K799="",K800="")
),
"",
"A Set-Aside must be selected."
)</f>
        <v/>
      </c>
      <c r="E798" s="602"/>
      <c r="F798" s="602"/>
      <c r="G798" s="602"/>
      <c r="H798" s="602"/>
      <c r="I798" s="602"/>
      <c r="J798" s="602"/>
      <c r="K798" s="602"/>
      <c r="L798" s="602"/>
      <c r="M798" s="602"/>
      <c r="N798" s="603"/>
      <c r="O798" s="2"/>
      <c r="AA798" s="50"/>
      <c r="AD798" s="601" t="str">
        <f>IF(
OR(
OR(AF800=$P$4,AF800=$P$5,AF800=$P$6,AF800=$P$7),AND(AG802="",AG803="",AG804="",AG805="",AG806="",AG807="",AG808="",AJ802="",AJ803="",AJ804="",AJ805="",AJ806="",AJ807="",AJ808="",AM802="",AM803="",AM804="",AM805="",AM806="",AM807="",AM808="",AK799="",AK800="")
),
"",
"A Set-Aside must be selected."
)</f>
        <v/>
      </c>
      <c r="AE798" s="602"/>
      <c r="AF798" s="602"/>
      <c r="AG798" s="602"/>
      <c r="AH798" s="602"/>
      <c r="AI798" s="602"/>
      <c r="AJ798" s="602"/>
      <c r="AK798" s="602"/>
      <c r="AL798" s="602"/>
      <c r="AM798" s="602"/>
      <c r="AN798" s="603"/>
      <c r="AO798" s="2"/>
    </row>
    <row r="799" spans="4:50" ht="15" customHeight="1" x14ac:dyDescent="0.3">
      <c r="D799" s="199"/>
      <c r="E799" s="9" t="s">
        <v>30</v>
      </c>
      <c r="F799" s="86">
        <f>F787+1</f>
        <v>64</v>
      </c>
      <c r="G799" s="9" t="s">
        <v>175</v>
      </c>
      <c r="H799" s="9"/>
      <c r="I799" s="9"/>
      <c r="J799" s="168" t="s">
        <v>111</v>
      </c>
      <c r="K799" s="148"/>
      <c r="N799" s="200"/>
      <c r="R799" s="596" t="s">
        <v>302</v>
      </c>
      <c r="S799" s="596" t="s">
        <v>303</v>
      </c>
      <c r="T799" s="596" t="s">
        <v>304</v>
      </c>
      <c r="U799" s="596" t="s">
        <v>305</v>
      </c>
      <c r="V799" s="596" t="s">
        <v>306</v>
      </c>
      <c r="W799" s="596" t="s">
        <v>307</v>
      </c>
      <c r="X799" s="596" t="s">
        <v>308</v>
      </c>
      <c r="AA799" s="50"/>
      <c r="AD799" s="199"/>
      <c r="AE799" s="9" t="s">
        <v>30</v>
      </c>
      <c r="AF799" s="86">
        <f>AF787+1</f>
        <v>64</v>
      </c>
      <c r="AG799" s="9" t="s">
        <v>175</v>
      </c>
      <c r="AH799" s="9"/>
      <c r="AI799" s="9"/>
      <c r="AJ799" s="168" t="s">
        <v>111</v>
      </c>
      <c r="AK799" s="382"/>
      <c r="AN799" s="200"/>
      <c r="AR799" s="596" t="s">
        <v>302</v>
      </c>
      <c r="AS799" s="596" t="s">
        <v>303</v>
      </c>
      <c r="AT799" s="596" t="s">
        <v>304</v>
      </c>
      <c r="AU799" s="596" t="s">
        <v>305</v>
      </c>
      <c r="AV799" s="596" t="s">
        <v>306</v>
      </c>
      <c r="AW799" s="596" t="s">
        <v>307</v>
      </c>
      <c r="AX799" s="596" t="s">
        <v>308</v>
      </c>
    </row>
    <row r="800" spans="4:50" ht="15" customHeight="1" x14ac:dyDescent="0.3">
      <c r="D800" s="604" t="s">
        <v>31</v>
      </c>
      <c r="E800" s="594"/>
      <c r="F800" s="151"/>
      <c r="G800" s="86" t="str">
        <f>IF(F800=$P$4,$Q$4,IF(F800=$P$5,$Q$5,IF(F800=$P$6,$Q$6,IF(F800=$P$7,Q$7,IF(F800=$P$8,"","")))))</f>
        <v/>
      </c>
      <c r="H800" s="201"/>
      <c r="I800" s="201"/>
      <c r="J800" s="168" t="s">
        <v>112</v>
      </c>
      <c r="K800" s="148"/>
      <c r="N800" s="200"/>
      <c r="R800" s="596"/>
      <c r="S800" s="596"/>
      <c r="T800" s="596"/>
      <c r="U800" s="596"/>
      <c r="V800" s="596"/>
      <c r="W800" s="596"/>
      <c r="X800" s="596"/>
      <c r="AA800" s="50"/>
      <c r="AD800" s="604" t="s">
        <v>31</v>
      </c>
      <c r="AE800" s="594"/>
      <c r="AF800" s="383"/>
      <c r="AG800" s="86" t="str">
        <f>IF(AF800=$P$4,$Q$4,IF(AF800=$P$5,$Q$5,IF(AF800=$P$6,$Q$6,IF(AF800=$P$7,AQ$7,IF(AF800=$P$8,"","")))))</f>
        <v/>
      </c>
      <c r="AH800" s="201"/>
      <c r="AI800" s="201"/>
      <c r="AJ800" s="168" t="s">
        <v>112</v>
      </c>
      <c r="AK800" s="382"/>
      <c r="AN800" s="200"/>
      <c r="AR800" s="596"/>
      <c r="AS800" s="596"/>
      <c r="AT800" s="596"/>
      <c r="AU800" s="596"/>
      <c r="AV800" s="596"/>
      <c r="AW800" s="596"/>
      <c r="AX800" s="596"/>
    </row>
    <row r="801" spans="4:50" ht="15" customHeight="1" x14ac:dyDescent="0.3">
      <c r="D801" s="244"/>
      <c r="E801" s="230" t="s">
        <v>52</v>
      </c>
      <c r="F801" s="9" t="s">
        <v>32</v>
      </c>
      <c r="G801" s="9" t="s">
        <v>33</v>
      </c>
      <c r="H801" s="9"/>
      <c r="I801" s="9"/>
      <c r="J801" s="9" t="s">
        <v>34</v>
      </c>
      <c r="K801" s="9"/>
      <c r="L801" s="9"/>
      <c r="M801" s="257" t="s">
        <v>35</v>
      </c>
      <c r="N801" s="202"/>
      <c r="O801" s="9"/>
      <c r="P801" s="198" t="s">
        <v>22</v>
      </c>
      <c r="Q801" s="198"/>
      <c r="R801" s="596"/>
      <c r="S801" s="596"/>
      <c r="T801" s="596"/>
      <c r="U801" s="596"/>
      <c r="V801" s="596"/>
      <c r="W801" s="596"/>
      <c r="X801" s="596"/>
      <c r="AA801" s="50"/>
      <c r="AD801" s="244"/>
      <c r="AE801" s="230" t="s">
        <v>52</v>
      </c>
      <c r="AF801" s="9" t="s">
        <v>32</v>
      </c>
      <c r="AG801" s="9" t="s">
        <v>33</v>
      </c>
      <c r="AH801" s="9"/>
      <c r="AI801" s="9"/>
      <c r="AJ801" s="9" t="s">
        <v>34</v>
      </c>
      <c r="AK801" s="9"/>
      <c r="AL801" s="9"/>
      <c r="AM801" s="257" t="s">
        <v>35</v>
      </c>
      <c r="AN801" s="202"/>
      <c r="AO801" s="9"/>
      <c r="AP801" s="198" t="s">
        <v>22</v>
      </c>
      <c r="AQ801" s="198"/>
      <c r="AR801" s="596"/>
      <c r="AS801" s="596"/>
      <c r="AT801" s="596"/>
      <c r="AU801" s="596"/>
      <c r="AV801" s="596"/>
      <c r="AW801" s="596"/>
      <c r="AX801" s="596"/>
    </row>
    <row r="802" spans="4:50" x14ac:dyDescent="0.3">
      <c r="D802" s="244"/>
      <c r="E802" s="355" t="str">
        <f>IF(OR(M802="",M802=0,J802="",G802=""),"",
(IF(AND(F800=$P$4,M802&lt;=$R$4),$V$4,0)+IF(AND(F800=$P$5,M802&lt;=$R$5),$V$5,0)+IF(AND(F800=$P$6,M802&lt;=$R$6),$V$6,0)+IF(AND(F800=$P$7,M802&lt;=$R$7),$V$7,0))
)</f>
        <v/>
      </c>
      <c r="F802" s="153" t="s">
        <v>302</v>
      </c>
      <c r="G802" s="616"/>
      <c r="H802" s="617"/>
      <c r="I802" s="618"/>
      <c r="J802" s="616"/>
      <c r="K802" s="617"/>
      <c r="L802" s="618"/>
      <c r="M802" s="255"/>
      <c r="N802" s="256"/>
      <c r="O802" s="388"/>
      <c r="P802" s="185">
        <f t="shared" ref="P802" si="1007">IF(F800="",0,1)</f>
        <v>0</v>
      </c>
      <c r="R802" s="185" t="str">
        <f t="shared" ref="R802" si="1008">E802</f>
        <v/>
      </c>
      <c r="S802" s="185" t="str">
        <f t="shared" ref="S802" si="1009">E803</f>
        <v/>
      </c>
      <c r="T802" s="185" t="str">
        <f t="shared" ref="T802" si="1010">E804</f>
        <v/>
      </c>
      <c r="U802" s="185" t="str">
        <f t="shared" ref="U802" si="1011">E805</f>
        <v/>
      </c>
      <c r="V802" s="185" t="str">
        <f t="shared" ref="V802" si="1012">E806</f>
        <v/>
      </c>
      <c r="W802" s="185" t="str">
        <f t="shared" ref="W802" si="1013">E807</f>
        <v/>
      </c>
      <c r="X802" s="185" t="str">
        <f t="shared" ref="X802" si="1014">E808</f>
        <v/>
      </c>
      <c r="AA802" s="50"/>
      <c r="AD802" s="244"/>
      <c r="AE802" s="355" t="str">
        <f>IF(OR(AM802="",AM802=0,AJ802="",AG802=""),"",
(IF(AND(AF800=$P$4,AM802&lt;=$R$4),$V$4,0)+IF(AND(AF800=$P$5,AM802&lt;=$R$5),$V$5,0)+IF(AND(AF800=$P$6,AM802&lt;=$R$6),$V$6,0)+IF(AND(AF800=$P$7,AM802&lt;=$R$7),$V$7,0))
)</f>
        <v/>
      </c>
      <c r="AF802" s="153" t="s">
        <v>302</v>
      </c>
      <c r="AG802" s="598"/>
      <c r="AH802" s="599"/>
      <c r="AI802" s="600"/>
      <c r="AJ802" s="598"/>
      <c r="AK802" s="599"/>
      <c r="AL802" s="600"/>
      <c r="AM802" s="384"/>
      <c r="AN802" s="256"/>
      <c r="AO802" s="388"/>
      <c r="AP802" s="185">
        <f t="shared" ref="AP802" si="1015">IF(AF800="",0,1)</f>
        <v>0</v>
      </c>
      <c r="AR802" s="185" t="str">
        <f t="shared" ref="AR802" si="1016">AE802</f>
        <v/>
      </c>
      <c r="AS802" s="185" t="str">
        <f t="shared" ref="AS802" si="1017">AE803</f>
        <v/>
      </c>
      <c r="AT802" s="185" t="str">
        <f t="shared" ref="AT802" si="1018">AE804</f>
        <v/>
      </c>
      <c r="AU802" s="185" t="str">
        <f t="shared" ref="AU802" si="1019">AE805</f>
        <v/>
      </c>
      <c r="AV802" s="185" t="str">
        <f t="shared" ref="AV802" si="1020">AE806</f>
        <v/>
      </c>
      <c r="AW802" s="185" t="str">
        <f t="shared" ref="AW802" si="1021">AE807</f>
        <v/>
      </c>
      <c r="AX802" s="185" t="str">
        <f t="shared" ref="AX802" si="1022">AE808</f>
        <v/>
      </c>
    </row>
    <row r="803" spans="4:50" x14ac:dyDescent="0.3">
      <c r="D803" s="244"/>
      <c r="E803" s="341" t="str">
        <f>IF(OR(M803="",M803=0,J803="",G803=""),"",
(IF(AND(F800=$P$4,M803&lt;=$R$4),$V$4,0)+IF(AND(F800=$P$5,M803&lt;=$R$5),$V$5,0)+IF(AND(F800=$P$6,M803&lt;=$R$6),$V$6,0)+IF(AND(F800=$P$7,M803&lt;=$R$7),$V$7,0))
)</f>
        <v/>
      </c>
      <c r="F803" s="153" t="s">
        <v>303</v>
      </c>
      <c r="G803" s="616"/>
      <c r="H803" s="617"/>
      <c r="I803" s="618"/>
      <c r="J803" s="616"/>
      <c r="K803" s="617"/>
      <c r="L803" s="618"/>
      <c r="M803" s="255"/>
      <c r="N803" s="256"/>
      <c r="O803" s="388"/>
      <c r="AA803" s="50"/>
      <c r="AD803" s="244"/>
      <c r="AE803" s="341" t="str">
        <f>IF(OR(AM803="",AM803=0,AJ803="",AG803=""),"",
(IF(AND(AF800=$P$4,AM803&lt;=$R$4),$V$4,0)+IF(AND(AF800=$P$5,AM803&lt;=$R$5),$V$5,0)+IF(AND(AF800=$P$6,AM803&lt;=$R$6),$V$6,0)+IF(AND(AF800=$P$7,AM803&lt;=$R$7),$V$7,0))
)</f>
        <v/>
      </c>
      <c r="AF803" s="153" t="s">
        <v>303</v>
      </c>
      <c r="AG803" s="598"/>
      <c r="AH803" s="599"/>
      <c r="AI803" s="600"/>
      <c r="AJ803" s="598"/>
      <c r="AK803" s="599"/>
      <c r="AL803" s="600"/>
      <c r="AM803" s="384"/>
      <c r="AN803" s="256"/>
      <c r="AO803" s="388"/>
    </row>
    <row r="804" spans="4:50" x14ac:dyDescent="0.3">
      <c r="D804" s="244"/>
      <c r="E804" s="341" t="str">
        <f>IF(OR(M804="",M804=0,J804="",G804=""),"",
(IF(AND(F800=$P$4,M804&lt;=$R$4),$V$4,0)+IF(AND(F800=$P$5,M804&lt;=$R$5),$V$5,0)+IF(AND(F800=$P$6,M804&lt;=$R$6),$V$6,0)+IF(AND(F800=$P$7,M804&lt;=$R$7),$V$7,0))
)</f>
        <v/>
      </c>
      <c r="F804" s="153" t="s">
        <v>304</v>
      </c>
      <c r="G804" s="616"/>
      <c r="H804" s="617"/>
      <c r="I804" s="618"/>
      <c r="J804" s="616"/>
      <c r="K804" s="617"/>
      <c r="L804" s="618"/>
      <c r="M804" s="255"/>
      <c r="N804" s="256"/>
      <c r="O804" s="388"/>
      <c r="AA804" s="50"/>
      <c r="AD804" s="244"/>
      <c r="AE804" s="341" t="str">
        <f>IF(OR(AM804="",AM804=0,AJ804="",AG804=""),"",
(IF(AND(AF800=$P$4,AM804&lt;=$R$4),$V$4,0)+IF(AND(AF800=$P$5,AM804&lt;=$R$5),$V$5,0)+IF(AND(AF800=$P$6,AM804&lt;=$R$6),$V$6,0)+IF(AND(AF800=$P$7,AM804&lt;=$R$7),$V$7,0))
)</f>
        <v/>
      </c>
      <c r="AF804" s="153" t="s">
        <v>304</v>
      </c>
      <c r="AG804" s="598"/>
      <c r="AH804" s="599"/>
      <c r="AI804" s="600"/>
      <c r="AJ804" s="598"/>
      <c r="AK804" s="599"/>
      <c r="AL804" s="600"/>
      <c r="AM804" s="384"/>
      <c r="AN804" s="256"/>
      <c r="AO804" s="388"/>
    </row>
    <row r="805" spans="4:50" x14ac:dyDescent="0.3">
      <c r="D805" s="244"/>
      <c r="E805" s="341" t="str">
        <f>IF(OR(M805="",M805=0,J805="",G805=""),"",
(IF(AND(F800=$P$4,M805&lt;=$R$4),$V$4,0)+IF(AND(F800=$P$5,M805&lt;=$R$5),$V$5,0)+IF(AND(F800=$P$6,M805&lt;=$R$6),$V$6,0)+IF(AND(F800=$P$7,M805&lt;=$R$7),$V$7,0))
)</f>
        <v/>
      </c>
      <c r="F805" s="153" t="s">
        <v>305</v>
      </c>
      <c r="G805" s="616"/>
      <c r="H805" s="617"/>
      <c r="I805" s="618"/>
      <c r="J805" s="616"/>
      <c r="K805" s="617"/>
      <c r="L805" s="618"/>
      <c r="M805" s="255"/>
      <c r="N805" s="256"/>
      <c r="O805" s="388"/>
      <c r="AA805" s="50"/>
      <c r="AD805" s="244"/>
      <c r="AE805" s="341" t="str">
        <f>IF(OR(AM805="",AM805=0,AJ805="",AG805=""),"",
(IF(AND(AF800=$P$4,AM805&lt;=$R$4),$V$4,0)+IF(AND(AF800=$P$5,AM805&lt;=$R$5),$V$5,0)+IF(AND(AF800=$P$6,AM805&lt;=$R$6),$V$6,0)+IF(AND(AF800=$P$7,AM805&lt;=$R$7),$V$7,0))
)</f>
        <v/>
      </c>
      <c r="AF805" s="153" t="s">
        <v>305</v>
      </c>
      <c r="AG805" s="598"/>
      <c r="AH805" s="599"/>
      <c r="AI805" s="600"/>
      <c r="AJ805" s="598"/>
      <c r="AK805" s="599"/>
      <c r="AL805" s="600"/>
      <c r="AM805" s="384"/>
      <c r="AN805" s="256"/>
      <c r="AO805" s="388"/>
    </row>
    <row r="806" spans="4:50" ht="15.75" customHeight="1" x14ac:dyDescent="0.3">
      <c r="D806" s="244"/>
      <c r="E806" s="341" t="str">
        <f>IF(OR(M806="",M806=0,J806="",G806=""),"",
(IF(AND(F800=$P$4,M806&lt;=$R$4),$V$4,0)+IF(AND(F800=$P$5,M806&lt;=$R$5),$V$5,0)+IF(AND(F800=$P$6,M806&lt;=$R$6),$V$6,0)+IF(AND(F800=$P$7,M806&lt;=$R$7),$V$7,0))
)</f>
        <v/>
      </c>
      <c r="F806" s="153" t="s">
        <v>306</v>
      </c>
      <c r="G806" s="616"/>
      <c r="H806" s="617"/>
      <c r="I806" s="618"/>
      <c r="J806" s="616"/>
      <c r="K806" s="617"/>
      <c r="L806" s="618"/>
      <c r="M806" s="255"/>
      <c r="N806" s="256"/>
      <c r="O806" s="388"/>
      <c r="AA806" s="50"/>
      <c r="AD806" s="244"/>
      <c r="AE806" s="341" t="str">
        <f>IF(OR(AM806="",AM806=0,AJ806="",AG806=""),"",
(IF(AND(AF800=$P$4,AM806&lt;=$R$4),$V$4,0)+IF(AND(AF800=$P$5,AM806&lt;=$R$5),$V$5,0)+IF(AND(AF800=$P$6,AM806&lt;=$R$6),$V$6,0)+IF(AND(AF800=$P$7,AM806&lt;=$R$7),$V$7,0))
)</f>
        <v/>
      </c>
      <c r="AF806" s="153" t="s">
        <v>306</v>
      </c>
      <c r="AG806" s="598"/>
      <c r="AH806" s="599"/>
      <c r="AI806" s="600"/>
      <c r="AJ806" s="598"/>
      <c r="AK806" s="599"/>
      <c r="AL806" s="600"/>
      <c r="AM806" s="384"/>
      <c r="AN806" s="256"/>
      <c r="AO806" s="388"/>
    </row>
    <row r="807" spans="4:50" x14ac:dyDescent="0.3">
      <c r="D807" s="244"/>
      <c r="E807" s="341" t="str">
        <f>IF(OR(M807="",M807=0,J807="",G807=""),"",
(IF(AND(F800=$P$4,M807&lt;=$R$4),$V$4,0)+IF(AND(F800=$P$5,M807&lt;=$R$5),$V$5,0)+IF(AND(F800=$P$6,M807&lt;=$R$6),$V$6,0)+IF(AND(F800=$P$7,M807&lt;=$R$7),$V$7,0))
)</f>
        <v/>
      </c>
      <c r="F807" s="153" t="s">
        <v>307</v>
      </c>
      <c r="G807" s="616"/>
      <c r="H807" s="617"/>
      <c r="I807" s="618"/>
      <c r="J807" s="616"/>
      <c r="K807" s="617"/>
      <c r="L807" s="618"/>
      <c r="M807" s="255"/>
      <c r="N807" s="256"/>
      <c r="O807" s="388"/>
      <c r="AA807" s="50"/>
      <c r="AD807" s="244"/>
      <c r="AE807" s="341" t="str">
        <f>IF(OR(AM807="",AM807=0,AJ807="",AG807=""),"",
(IF(AND(AF800=$P$4,AM807&lt;=$R$4),$V$4,0)+IF(AND(AF800=$P$5,AM807&lt;=$R$5),$V$5,0)+IF(AND(AF800=$P$6,AM807&lt;=$R$6),$V$6,0)+IF(AND(AF800=$P$7,AM807&lt;=$R$7),$V$7,0))
)</f>
        <v/>
      </c>
      <c r="AF807" s="153" t="s">
        <v>307</v>
      </c>
      <c r="AG807" s="598"/>
      <c r="AH807" s="599"/>
      <c r="AI807" s="600"/>
      <c r="AJ807" s="598"/>
      <c r="AK807" s="599"/>
      <c r="AL807" s="600"/>
      <c r="AM807" s="384"/>
      <c r="AN807" s="256"/>
      <c r="AO807" s="388"/>
    </row>
    <row r="808" spans="4:50" ht="15" customHeight="1" x14ac:dyDescent="0.3">
      <c r="D808" s="244"/>
      <c r="E808" s="341" t="str">
        <f>IF(OR(M808="",M808=0,J808="",G808=""),"",
(IF(AND(F800=$P$4,M808&lt;=$R$4),$V$4,0)+IF(AND(F800=$P$5,M808&lt;=$R$5),$V$5,0)+IF(AND(F800=$P$6,M808&lt;=$R$6),$V$6,0)+IF(AND(F800=$P$7,M808&lt;=$R$7),$V$7,0))
)</f>
        <v/>
      </c>
      <c r="F808" s="153" t="s">
        <v>308</v>
      </c>
      <c r="G808" s="616"/>
      <c r="H808" s="617"/>
      <c r="I808" s="618"/>
      <c r="J808" s="616"/>
      <c r="K808" s="617"/>
      <c r="L808" s="618"/>
      <c r="M808" s="255"/>
      <c r="N808" s="256"/>
      <c r="O808" s="388"/>
      <c r="AA808" s="50"/>
      <c r="AD808" s="244"/>
      <c r="AE808" s="341" t="str">
        <f>IF(OR(AM808="",AM808=0,AJ808="",AG808=""),"",
(IF(AND(AF800=$P$4,AM808&lt;=$R$4),$V$4,0)+IF(AND(AF800=$P$5,AM808&lt;=$R$5),$V$5,0)+IF(AND(AF800=$P$6,AM808&lt;=$R$6),$V$6,0)+IF(AND(AF800=$P$7,AM808&lt;=$R$7),$V$7,0))
)</f>
        <v/>
      </c>
      <c r="AF808" s="153" t="s">
        <v>308</v>
      </c>
      <c r="AG808" s="598"/>
      <c r="AH808" s="599"/>
      <c r="AI808" s="600"/>
      <c r="AJ808" s="598"/>
      <c r="AK808" s="599"/>
      <c r="AL808" s="600"/>
      <c r="AM808" s="384"/>
      <c r="AN808" s="256"/>
      <c r="AO808" s="388"/>
    </row>
    <row r="809" spans="4:50" ht="15" customHeight="1" thickBot="1" x14ac:dyDescent="0.35">
      <c r="D809" s="203"/>
      <c r="E809" s="3"/>
      <c r="F809" s="3"/>
      <c r="G809" s="3"/>
      <c r="H809" s="3"/>
      <c r="I809" s="3"/>
      <c r="J809" s="3"/>
      <c r="K809" s="3"/>
      <c r="L809" s="3"/>
      <c r="M809" s="3"/>
      <c r="N809" s="204"/>
      <c r="P809" s="2"/>
      <c r="AA809" s="50"/>
      <c r="AD809" s="203"/>
      <c r="AE809" s="3"/>
      <c r="AF809" s="3"/>
      <c r="AG809" s="3"/>
      <c r="AH809" s="3"/>
      <c r="AI809" s="3"/>
      <c r="AJ809" s="3"/>
      <c r="AK809" s="3"/>
      <c r="AL809" s="3"/>
      <c r="AM809" s="3"/>
      <c r="AN809" s="204"/>
      <c r="AP809" s="2"/>
    </row>
    <row r="810" spans="4:50" ht="15" customHeight="1" x14ac:dyDescent="0.3">
      <c r="D810" s="601" t="str">
        <f>IF(
OR(
OR(F812=$P$4,F812=$P$5,F812=$P$6,F812=$P$7),AND(G814="",G815="",G816="",G817="",G818="",G819="",G820="",J814="",J815="",J816="",J817="",J818="",J819="",J820="",M814="",M815="",M816="",M817="",M818="",M819="",M820="",K811="",K812="")
),
"",
"A Set-Aside must be selected."
)</f>
        <v/>
      </c>
      <c r="E810" s="602"/>
      <c r="F810" s="602"/>
      <c r="G810" s="602"/>
      <c r="H810" s="602"/>
      <c r="I810" s="602"/>
      <c r="J810" s="602"/>
      <c r="K810" s="602"/>
      <c r="L810" s="602"/>
      <c r="M810" s="602"/>
      <c r="N810" s="603"/>
      <c r="O810" s="2"/>
      <c r="AA810" s="50"/>
      <c r="AD810" s="601" t="str">
        <f>IF(
OR(
OR(AF812=$P$4,AF812=$P$5,AF812=$P$6,AF812=$P$7),AND(AG814="",AG815="",AG816="",AG817="",AG818="",AG819="",AG820="",AJ814="",AJ815="",AJ816="",AJ817="",AJ818="",AJ819="",AJ820="",AM814="",AM815="",AM816="",AM817="",AM818="",AM819="",AM820="",AK811="",AK812="")
),
"",
"A Set-Aside must be selected."
)</f>
        <v/>
      </c>
      <c r="AE810" s="602"/>
      <c r="AF810" s="602"/>
      <c r="AG810" s="602"/>
      <c r="AH810" s="602"/>
      <c r="AI810" s="602"/>
      <c r="AJ810" s="602"/>
      <c r="AK810" s="602"/>
      <c r="AL810" s="602"/>
      <c r="AM810" s="602"/>
      <c r="AN810" s="603"/>
      <c r="AO810" s="2"/>
    </row>
    <row r="811" spans="4:50" ht="15" customHeight="1" x14ac:dyDescent="0.3">
      <c r="D811" s="199"/>
      <c r="E811" s="9" t="s">
        <v>30</v>
      </c>
      <c r="F811" s="86">
        <f>F799+1</f>
        <v>65</v>
      </c>
      <c r="G811" s="9" t="s">
        <v>175</v>
      </c>
      <c r="H811" s="9"/>
      <c r="I811" s="9"/>
      <c r="J811" s="168" t="s">
        <v>111</v>
      </c>
      <c r="K811" s="148"/>
      <c r="N811" s="200"/>
      <c r="R811" s="596" t="s">
        <v>302</v>
      </c>
      <c r="S811" s="596" t="s">
        <v>303</v>
      </c>
      <c r="T811" s="596" t="s">
        <v>304</v>
      </c>
      <c r="U811" s="596" t="s">
        <v>305</v>
      </c>
      <c r="V811" s="596" t="s">
        <v>306</v>
      </c>
      <c r="W811" s="596" t="s">
        <v>307</v>
      </c>
      <c r="X811" s="596" t="s">
        <v>308</v>
      </c>
      <c r="AA811" s="50"/>
      <c r="AD811" s="199"/>
      <c r="AE811" s="9" t="s">
        <v>30</v>
      </c>
      <c r="AF811" s="86">
        <f>AF799+1</f>
        <v>65</v>
      </c>
      <c r="AG811" s="9" t="s">
        <v>175</v>
      </c>
      <c r="AH811" s="9"/>
      <c r="AI811" s="9"/>
      <c r="AJ811" s="168" t="s">
        <v>111</v>
      </c>
      <c r="AK811" s="382"/>
      <c r="AN811" s="200"/>
      <c r="AR811" s="596" t="s">
        <v>302</v>
      </c>
      <c r="AS811" s="596" t="s">
        <v>303</v>
      </c>
      <c r="AT811" s="596" t="s">
        <v>304</v>
      </c>
      <c r="AU811" s="596" t="s">
        <v>305</v>
      </c>
      <c r="AV811" s="596" t="s">
        <v>306</v>
      </c>
      <c r="AW811" s="596" t="s">
        <v>307</v>
      </c>
      <c r="AX811" s="596" t="s">
        <v>308</v>
      </c>
    </row>
    <row r="812" spans="4:50" ht="15" customHeight="1" x14ac:dyDescent="0.3">
      <c r="D812" s="604" t="s">
        <v>31</v>
      </c>
      <c r="E812" s="594"/>
      <c r="F812" s="151"/>
      <c r="G812" s="86" t="str">
        <f>IF(F812=$P$4,$Q$4,IF(F812=$P$5,$Q$5,IF(F812=$P$6,$Q$6,IF(F812=$P$7,Q$7,IF(F812=$P$8,"","")))))</f>
        <v/>
      </c>
      <c r="H812" s="201"/>
      <c r="I812" s="201"/>
      <c r="J812" s="168" t="s">
        <v>112</v>
      </c>
      <c r="K812" s="148"/>
      <c r="N812" s="200"/>
      <c r="R812" s="596"/>
      <c r="S812" s="596"/>
      <c r="T812" s="596"/>
      <c r="U812" s="596"/>
      <c r="V812" s="596"/>
      <c r="W812" s="596"/>
      <c r="X812" s="596"/>
      <c r="AA812" s="50"/>
      <c r="AD812" s="604" t="s">
        <v>31</v>
      </c>
      <c r="AE812" s="594"/>
      <c r="AF812" s="383"/>
      <c r="AG812" s="86" t="str">
        <f>IF(AF812=$P$4,$Q$4,IF(AF812=$P$5,$Q$5,IF(AF812=$P$6,$Q$6,IF(AF812=$P$7,AQ$7,IF(AF812=$P$8,"","")))))</f>
        <v/>
      </c>
      <c r="AH812" s="201"/>
      <c r="AI812" s="201"/>
      <c r="AJ812" s="168" t="s">
        <v>112</v>
      </c>
      <c r="AK812" s="382"/>
      <c r="AN812" s="200"/>
      <c r="AR812" s="596"/>
      <c r="AS812" s="596"/>
      <c r="AT812" s="596"/>
      <c r="AU812" s="596"/>
      <c r="AV812" s="596"/>
      <c r="AW812" s="596"/>
      <c r="AX812" s="596"/>
    </row>
    <row r="813" spans="4:50" ht="15" customHeight="1" x14ac:dyDescent="0.3">
      <c r="D813" s="244"/>
      <c r="E813" s="230" t="s">
        <v>52</v>
      </c>
      <c r="F813" s="9" t="s">
        <v>32</v>
      </c>
      <c r="G813" s="9" t="s">
        <v>33</v>
      </c>
      <c r="H813" s="9"/>
      <c r="I813" s="9"/>
      <c r="J813" s="9" t="s">
        <v>34</v>
      </c>
      <c r="K813" s="9"/>
      <c r="L813" s="9"/>
      <c r="M813" s="257" t="s">
        <v>35</v>
      </c>
      <c r="N813" s="202"/>
      <c r="O813" s="9"/>
      <c r="P813" s="198" t="s">
        <v>22</v>
      </c>
      <c r="Q813" s="198"/>
      <c r="R813" s="596"/>
      <c r="S813" s="596"/>
      <c r="T813" s="596"/>
      <c r="U813" s="596"/>
      <c r="V813" s="596"/>
      <c r="W813" s="596"/>
      <c r="X813" s="596"/>
      <c r="AA813" s="50"/>
      <c r="AD813" s="244"/>
      <c r="AE813" s="230" t="s">
        <v>52</v>
      </c>
      <c r="AF813" s="9" t="s">
        <v>32</v>
      </c>
      <c r="AG813" s="9" t="s">
        <v>33</v>
      </c>
      <c r="AH813" s="9"/>
      <c r="AI813" s="9"/>
      <c r="AJ813" s="9" t="s">
        <v>34</v>
      </c>
      <c r="AK813" s="9"/>
      <c r="AL813" s="9"/>
      <c r="AM813" s="257" t="s">
        <v>35</v>
      </c>
      <c r="AN813" s="202"/>
      <c r="AO813" s="9"/>
      <c r="AP813" s="198" t="s">
        <v>22</v>
      </c>
      <c r="AQ813" s="198"/>
      <c r="AR813" s="596"/>
      <c r="AS813" s="596"/>
      <c r="AT813" s="596"/>
      <c r="AU813" s="596"/>
      <c r="AV813" s="596"/>
      <c r="AW813" s="596"/>
      <c r="AX813" s="596"/>
    </row>
    <row r="814" spans="4:50" ht="15" customHeight="1" x14ac:dyDescent="0.3">
      <c r="D814" s="244"/>
      <c r="E814" s="355" t="str">
        <f>IF(OR(M814="",M814=0,J814="",G814=""),"",
(IF(AND(F812=$P$4,M814&lt;=$R$4),$V$4,0)+IF(AND(F812=$P$5,M814&lt;=$R$5),$V$5,0)+IF(AND(F812=$P$6,M814&lt;=$R$6),$V$6,0)+IF(AND(F812=$P$7,M814&lt;=$R$7),$V$7,0))
)</f>
        <v/>
      </c>
      <c r="F814" s="153" t="s">
        <v>302</v>
      </c>
      <c r="G814" s="616"/>
      <c r="H814" s="617"/>
      <c r="I814" s="618"/>
      <c r="J814" s="616"/>
      <c r="K814" s="617"/>
      <c r="L814" s="618"/>
      <c r="M814" s="255"/>
      <c r="N814" s="256"/>
      <c r="O814" s="388"/>
      <c r="P814" s="185">
        <f t="shared" ref="P814" si="1023">IF(F812="",0,1)</f>
        <v>0</v>
      </c>
      <c r="R814" s="185" t="str">
        <f t="shared" ref="R814" si="1024">E814</f>
        <v/>
      </c>
      <c r="S814" s="185" t="str">
        <f t="shared" ref="S814" si="1025">E815</f>
        <v/>
      </c>
      <c r="T814" s="185" t="str">
        <f t="shared" ref="T814" si="1026">E816</f>
        <v/>
      </c>
      <c r="U814" s="185" t="str">
        <f t="shared" ref="U814" si="1027">E817</f>
        <v/>
      </c>
      <c r="V814" s="185" t="str">
        <f t="shared" ref="V814" si="1028">E818</f>
        <v/>
      </c>
      <c r="W814" s="185" t="str">
        <f t="shared" ref="W814" si="1029">E819</f>
        <v/>
      </c>
      <c r="X814" s="185" t="str">
        <f t="shared" ref="X814" si="1030">E820</f>
        <v/>
      </c>
      <c r="AA814" s="50"/>
      <c r="AD814" s="244"/>
      <c r="AE814" s="355" t="str">
        <f>IF(OR(AM814="",AM814=0,AJ814="",AG814=""),"",
(IF(AND(AF812=$P$4,AM814&lt;=$R$4),$V$4,0)+IF(AND(AF812=$P$5,AM814&lt;=$R$5),$V$5,0)+IF(AND(AF812=$P$6,AM814&lt;=$R$6),$V$6,0)+IF(AND(AF812=$P$7,AM814&lt;=$R$7),$V$7,0))
)</f>
        <v/>
      </c>
      <c r="AF814" s="153" t="s">
        <v>302</v>
      </c>
      <c r="AG814" s="598"/>
      <c r="AH814" s="599"/>
      <c r="AI814" s="600"/>
      <c r="AJ814" s="598"/>
      <c r="AK814" s="599"/>
      <c r="AL814" s="600"/>
      <c r="AM814" s="384"/>
      <c r="AN814" s="256"/>
      <c r="AO814" s="388"/>
      <c r="AP814" s="185">
        <f t="shared" ref="AP814" si="1031">IF(AF812="",0,1)</f>
        <v>0</v>
      </c>
      <c r="AR814" s="185" t="str">
        <f t="shared" ref="AR814" si="1032">AE814</f>
        <v/>
      </c>
      <c r="AS814" s="185" t="str">
        <f t="shared" ref="AS814" si="1033">AE815</f>
        <v/>
      </c>
      <c r="AT814" s="185" t="str">
        <f t="shared" ref="AT814" si="1034">AE816</f>
        <v/>
      </c>
      <c r="AU814" s="185" t="str">
        <f t="shared" ref="AU814" si="1035">AE817</f>
        <v/>
      </c>
      <c r="AV814" s="185" t="str">
        <f t="shared" ref="AV814" si="1036">AE818</f>
        <v/>
      </c>
      <c r="AW814" s="185" t="str">
        <f t="shared" ref="AW814" si="1037">AE819</f>
        <v/>
      </c>
      <c r="AX814" s="185" t="str">
        <f t="shared" ref="AX814" si="1038">AE820</f>
        <v/>
      </c>
    </row>
    <row r="815" spans="4:50" ht="15" customHeight="1" x14ac:dyDescent="0.3">
      <c r="D815" s="244"/>
      <c r="E815" s="341" t="str">
        <f>IF(OR(M815="",M815=0,J815="",G815=""),"",
(IF(AND(F812=$P$4,M815&lt;=$R$4),$V$4,0)+IF(AND(F812=$P$5,M815&lt;=$R$5),$V$5,0)+IF(AND(F812=$P$6,M815&lt;=$R$6),$V$6,0)+IF(AND(F812=$P$7,M815&lt;=$R$7),$V$7,0))
)</f>
        <v/>
      </c>
      <c r="F815" s="153" t="s">
        <v>303</v>
      </c>
      <c r="G815" s="616"/>
      <c r="H815" s="617"/>
      <c r="I815" s="618"/>
      <c r="J815" s="616"/>
      <c r="K815" s="617"/>
      <c r="L815" s="618"/>
      <c r="M815" s="255"/>
      <c r="N815" s="256"/>
      <c r="O815" s="388"/>
      <c r="AA815" s="50"/>
      <c r="AD815" s="244"/>
      <c r="AE815" s="341" t="str">
        <f>IF(OR(AM815="",AM815=0,AJ815="",AG815=""),"",
(IF(AND(AF812=$P$4,AM815&lt;=$R$4),$V$4,0)+IF(AND(AF812=$P$5,AM815&lt;=$R$5),$V$5,0)+IF(AND(AF812=$P$6,AM815&lt;=$R$6),$V$6,0)+IF(AND(AF812=$P$7,AM815&lt;=$R$7),$V$7,0))
)</f>
        <v/>
      </c>
      <c r="AF815" s="153" t="s">
        <v>303</v>
      </c>
      <c r="AG815" s="598"/>
      <c r="AH815" s="599"/>
      <c r="AI815" s="600"/>
      <c r="AJ815" s="598"/>
      <c r="AK815" s="599"/>
      <c r="AL815" s="600"/>
      <c r="AM815" s="384"/>
      <c r="AN815" s="256"/>
      <c r="AO815" s="388"/>
    </row>
    <row r="816" spans="4:50" x14ac:dyDescent="0.3">
      <c r="D816" s="244"/>
      <c r="E816" s="341" t="str">
        <f>IF(OR(M816="",M816=0,J816="",G816=""),"",
(IF(AND(F812=$P$4,M816&lt;=$R$4),$V$4,0)+IF(AND(F812=$P$5,M816&lt;=$R$5),$V$5,0)+IF(AND(F812=$P$6,M816&lt;=$R$6),$V$6,0)+IF(AND(F812=$P$7,M816&lt;=$R$7),$V$7,0))
)</f>
        <v/>
      </c>
      <c r="F816" s="153" t="s">
        <v>304</v>
      </c>
      <c r="G816" s="616"/>
      <c r="H816" s="617"/>
      <c r="I816" s="618"/>
      <c r="J816" s="616"/>
      <c r="K816" s="617"/>
      <c r="L816" s="618"/>
      <c r="M816" s="255"/>
      <c r="N816" s="256"/>
      <c r="O816" s="388"/>
      <c r="AA816" s="50"/>
      <c r="AD816" s="244"/>
      <c r="AE816" s="341" t="str">
        <f>IF(OR(AM816="",AM816=0,AJ816="",AG816=""),"",
(IF(AND(AF812=$P$4,AM816&lt;=$R$4),$V$4,0)+IF(AND(AF812=$P$5,AM816&lt;=$R$5),$V$5,0)+IF(AND(AF812=$P$6,AM816&lt;=$R$6),$V$6,0)+IF(AND(AF812=$P$7,AM816&lt;=$R$7),$V$7,0))
)</f>
        <v/>
      </c>
      <c r="AF816" s="153" t="s">
        <v>304</v>
      </c>
      <c r="AG816" s="598"/>
      <c r="AH816" s="599"/>
      <c r="AI816" s="600"/>
      <c r="AJ816" s="598"/>
      <c r="AK816" s="599"/>
      <c r="AL816" s="600"/>
      <c r="AM816" s="384"/>
      <c r="AN816" s="256"/>
      <c r="AO816" s="388"/>
    </row>
    <row r="817" spans="4:50" x14ac:dyDescent="0.3">
      <c r="D817" s="244"/>
      <c r="E817" s="341" t="str">
        <f>IF(OR(M817="",M817=0,J817="",G817=""),"",
(IF(AND(F812=$P$4,M817&lt;=$R$4),$V$4,0)+IF(AND(F812=$P$5,M817&lt;=$R$5),$V$5,0)+IF(AND(F812=$P$6,M817&lt;=$R$6),$V$6,0)+IF(AND(F812=$P$7,M817&lt;=$R$7),$V$7,0))
)</f>
        <v/>
      </c>
      <c r="F817" s="153" t="s">
        <v>305</v>
      </c>
      <c r="G817" s="616"/>
      <c r="H817" s="617"/>
      <c r="I817" s="618"/>
      <c r="J817" s="616"/>
      <c r="K817" s="617"/>
      <c r="L817" s="618"/>
      <c r="M817" s="255"/>
      <c r="N817" s="256"/>
      <c r="O817" s="388"/>
      <c r="AA817" s="50"/>
      <c r="AD817" s="244"/>
      <c r="AE817" s="341" t="str">
        <f>IF(OR(AM817="",AM817=0,AJ817="",AG817=""),"",
(IF(AND(AF812=$P$4,AM817&lt;=$R$4),$V$4,0)+IF(AND(AF812=$P$5,AM817&lt;=$R$5),$V$5,0)+IF(AND(AF812=$P$6,AM817&lt;=$R$6),$V$6,0)+IF(AND(AF812=$P$7,AM817&lt;=$R$7),$V$7,0))
)</f>
        <v/>
      </c>
      <c r="AF817" s="153" t="s">
        <v>305</v>
      </c>
      <c r="AG817" s="598"/>
      <c r="AH817" s="599"/>
      <c r="AI817" s="600"/>
      <c r="AJ817" s="598"/>
      <c r="AK817" s="599"/>
      <c r="AL817" s="600"/>
      <c r="AM817" s="384"/>
      <c r="AN817" s="256"/>
      <c r="AO817" s="388"/>
    </row>
    <row r="818" spans="4:50" x14ac:dyDescent="0.3">
      <c r="D818" s="244"/>
      <c r="E818" s="341" t="str">
        <f>IF(OR(M818="",M818=0,J818="",G818=""),"",
(IF(AND(F812=$P$4,M818&lt;=$R$4),$V$4,0)+IF(AND(F812=$P$5,M818&lt;=$R$5),$V$5,0)+IF(AND(F812=$P$6,M818&lt;=$R$6),$V$6,0)+IF(AND(F812=$P$7,M818&lt;=$R$7),$V$7,0))
)</f>
        <v/>
      </c>
      <c r="F818" s="153" t="s">
        <v>306</v>
      </c>
      <c r="G818" s="616"/>
      <c r="H818" s="617"/>
      <c r="I818" s="618"/>
      <c r="J818" s="616"/>
      <c r="K818" s="617"/>
      <c r="L818" s="618"/>
      <c r="M818" s="255"/>
      <c r="N818" s="256"/>
      <c r="O818" s="388"/>
      <c r="AA818" s="50"/>
      <c r="AD818" s="244"/>
      <c r="AE818" s="341" t="str">
        <f>IF(OR(AM818="",AM818=0,AJ818="",AG818=""),"",
(IF(AND(AF812=$P$4,AM818&lt;=$R$4),$V$4,0)+IF(AND(AF812=$P$5,AM818&lt;=$R$5),$V$5,0)+IF(AND(AF812=$P$6,AM818&lt;=$R$6),$V$6,0)+IF(AND(AF812=$P$7,AM818&lt;=$R$7),$V$7,0))
)</f>
        <v/>
      </c>
      <c r="AF818" s="153" t="s">
        <v>306</v>
      </c>
      <c r="AG818" s="598"/>
      <c r="AH818" s="599"/>
      <c r="AI818" s="600"/>
      <c r="AJ818" s="598"/>
      <c r="AK818" s="599"/>
      <c r="AL818" s="600"/>
      <c r="AM818" s="384"/>
      <c r="AN818" s="256"/>
      <c r="AO818" s="388"/>
    </row>
    <row r="819" spans="4:50" x14ac:dyDescent="0.3">
      <c r="D819" s="244"/>
      <c r="E819" s="341" t="str">
        <f>IF(OR(M819="",M819=0,J819="",G819=""),"",
(IF(AND(F812=$P$4,M819&lt;=$R$4),$V$4,0)+IF(AND(F812=$P$5,M819&lt;=$R$5),$V$5,0)+IF(AND(F812=$P$6,M819&lt;=$R$6),$V$6,0)+IF(AND(F812=$P$7,M819&lt;=$R$7),$V$7,0))
)</f>
        <v/>
      </c>
      <c r="F819" s="153" t="s">
        <v>307</v>
      </c>
      <c r="G819" s="616"/>
      <c r="H819" s="617"/>
      <c r="I819" s="618"/>
      <c r="J819" s="616"/>
      <c r="K819" s="617"/>
      <c r="L819" s="618"/>
      <c r="M819" s="255"/>
      <c r="N819" s="256"/>
      <c r="O819" s="388"/>
      <c r="AA819" s="50"/>
      <c r="AD819" s="244"/>
      <c r="AE819" s="341" t="str">
        <f>IF(OR(AM819="",AM819=0,AJ819="",AG819=""),"",
(IF(AND(AF812=$P$4,AM819&lt;=$R$4),$V$4,0)+IF(AND(AF812=$P$5,AM819&lt;=$R$5),$V$5,0)+IF(AND(AF812=$P$6,AM819&lt;=$R$6),$V$6,0)+IF(AND(AF812=$P$7,AM819&lt;=$R$7),$V$7,0))
)</f>
        <v/>
      </c>
      <c r="AF819" s="153" t="s">
        <v>307</v>
      </c>
      <c r="AG819" s="598"/>
      <c r="AH819" s="599"/>
      <c r="AI819" s="600"/>
      <c r="AJ819" s="598"/>
      <c r="AK819" s="599"/>
      <c r="AL819" s="600"/>
      <c r="AM819" s="384"/>
      <c r="AN819" s="256"/>
      <c r="AO819" s="388"/>
    </row>
    <row r="820" spans="4:50" ht="15.75" customHeight="1" x14ac:dyDescent="0.3">
      <c r="D820" s="244"/>
      <c r="E820" s="341" t="str">
        <f>IF(OR(M820="",M820=0,J820="",G820=""),"",
(IF(AND(F812=$P$4,M820&lt;=$R$4),$V$4,0)+IF(AND(F812=$P$5,M820&lt;=$R$5),$V$5,0)+IF(AND(F812=$P$6,M820&lt;=$R$6),$V$6,0)+IF(AND(F812=$P$7,M820&lt;=$R$7),$V$7,0))
)</f>
        <v/>
      </c>
      <c r="F820" s="153" t="s">
        <v>308</v>
      </c>
      <c r="G820" s="616"/>
      <c r="H820" s="617"/>
      <c r="I820" s="618"/>
      <c r="J820" s="616"/>
      <c r="K820" s="617"/>
      <c r="L820" s="618"/>
      <c r="M820" s="255"/>
      <c r="N820" s="256"/>
      <c r="O820" s="388"/>
      <c r="AA820" s="50"/>
      <c r="AD820" s="244"/>
      <c r="AE820" s="341" t="str">
        <f>IF(OR(AM820="",AM820=0,AJ820="",AG820=""),"",
(IF(AND(AF812=$P$4,AM820&lt;=$R$4),$V$4,0)+IF(AND(AF812=$P$5,AM820&lt;=$R$5),$V$5,0)+IF(AND(AF812=$P$6,AM820&lt;=$R$6),$V$6,0)+IF(AND(AF812=$P$7,AM820&lt;=$R$7),$V$7,0))
)</f>
        <v/>
      </c>
      <c r="AF820" s="153" t="s">
        <v>308</v>
      </c>
      <c r="AG820" s="598"/>
      <c r="AH820" s="599"/>
      <c r="AI820" s="600"/>
      <c r="AJ820" s="598"/>
      <c r="AK820" s="599"/>
      <c r="AL820" s="600"/>
      <c r="AM820" s="384"/>
      <c r="AN820" s="256"/>
      <c r="AO820" s="388"/>
    </row>
    <row r="821" spans="4:50" ht="16.2" thickBot="1" x14ac:dyDescent="0.35">
      <c r="D821" s="203"/>
      <c r="E821" s="3"/>
      <c r="F821" s="3"/>
      <c r="G821" s="3"/>
      <c r="H821" s="3"/>
      <c r="I821" s="3"/>
      <c r="J821" s="3"/>
      <c r="K821" s="3"/>
      <c r="L821" s="3"/>
      <c r="M821" s="3"/>
      <c r="N821" s="204"/>
      <c r="P821" s="2"/>
      <c r="AA821" s="50"/>
      <c r="AD821" s="203"/>
      <c r="AE821" s="3"/>
      <c r="AF821" s="3"/>
      <c r="AG821" s="3"/>
      <c r="AH821" s="3"/>
      <c r="AI821" s="3"/>
      <c r="AJ821" s="3"/>
      <c r="AK821" s="3"/>
      <c r="AL821" s="3"/>
      <c r="AM821" s="3"/>
      <c r="AN821" s="204"/>
      <c r="AP821" s="2"/>
    </row>
    <row r="822" spans="4:50" ht="15" customHeight="1" x14ac:dyDescent="0.3">
      <c r="D822" s="601" t="str">
        <f>IF(
OR(
OR(F824=$P$4,F824=$P$5,F824=$P$6,F824=$P$7),AND(G826="",G827="",G828="",G829="",G830="",G831="",G832="",J826="",J827="",J828="",J829="",J830="",J831="",J832="",M826="",M827="",M828="",M829="",M830="",M831="",M832="",K823="",K824="")
),
"",
"A Set-Aside must be selected."
)</f>
        <v/>
      </c>
      <c r="E822" s="602"/>
      <c r="F822" s="602"/>
      <c r="G822" s="602"/>
      <c r="H822" s="602"/>
      <c r="I822" s="602"/>
      <c r="J822" s="602"/>
      <c r="K822" s="602"/>
      <c r="L822" s="602"/>
      <c r="M822" s="602"/>
      <c r="N822" s="603"/>
      <c r="O822" s="2"/>
      <c r="AA822" s="50"/>
      <c r="AD822" s="601" t="str">
        <f>IF(
OR(
OR(AF824=$P$4,AF824=$P$5,AF824=$P$6,AF824=$P$7),AND(AG826="",AG827="",AG828="",AG829="",AG830="",AG831="",AG832="",AJ826="",AJ827="",AJ828="",AJ829="",AJ830="",AJ831="",AJ832="",AM826="",AM827="",AM828="",AM829="",AM830="",AM831="",AM832="",AK823="",AK824="")
),
"",
"A Set-Aside must be selected."
)</f>
        <v/>
      </c>
      <c r="AE822" s="602"/>
      <c r="AF822" s="602"/>
      <c r="AG822" s="602"/>
      <c r="AH822" s="602"/>
      <c r="AI822" s="602"/>
      <c r="AJ822" s="602"/>
      <c r="AK822" s="602"/>
      <c r="AL822" s="602"/>
      <c r="AM822" s="602"/>
      <c r="AN822" s="603"/>
      <c r="AO822" s="2"/>
    </row>
    <row r="823" spans="4:50" ht="15" customHeight="1" x14ac:dyDescent="0.3">
      <c r="D823" s="199"/>
      <c r="E823" s="9" t="s">
        <v>30</v>
      </c>
      <c r="F823" s="86">
        <f>F811+1</f>
        <v>66</v>
      </c>
      <c r="G823" s="9" t="s">
        <v>175</v>
      </c>
      <c r="H823" s="9"/>
      <c r="I823" s="9"/>
      <c r="J823" s="168" t="s">
        <v>111</v>
      </c>
      <c r="K823" s="148"/>
      <c r="N823" s="200"/>
      <c r="R823" s="596" t="s">
        <v>302</v>
      </c>
      <c r="S823" s="596" t="s">
        <v>303</v>
      </c>
      <c r="T823" s="596" t="s">
        <v>304</v>
      </c>
      <c r="U823" s="596" t="s">
        <v>305</v>
      </c>
      <c r="V823" s="596" t="s">
        <v>306</v>
      </c>
      <c r="W823" s="596" t="s">
        <v>307</v>
      </c>
      <c r="X823" s="596" t="s">
        <v>308</v>
      </c>
      <c r="AA823" s="50"/>
      <c r="AD823" s="199"/>
      <c r="AE823" s="9" t="s">
        <v>30</v>
      </c>
      <c r="AF823" s="86">
        <f>AF811+1</f>
        <v>66</v>
      </c>
      <c r="AG823" s="9" t="s">
        <v>175</v>
      </c>
      <c r="AH823" s="9"/>
      <c r="AI823" s="9"/>
      <c r="AJ823" s="168" t="s">
        <v>111</v>
      </c>
      <c r="AK823" s="382"/>
      <c r="AN823" s="200"/>
      <c r="AR823" s="596" t="s">
        <v>302</v>
      </c>
      <c r="AS823" s="596" t="s">
        <v>303</v>
      </c>
      <c r="AT823" s="596" t="s">
        <v>304</v>
      </c>
      <c r="AU823" s="596" t="s">
        <v>305</v>
      </c>
      <c r="AV823" s="596" t="s">
        <v>306</v>
      </c>
      <c r="AW823" s="596" t="s">
        <v>307</v>
      </c>
      <c r="AX823" s="596" t="s">
        <v>308</v>
      </c>
    </row>
    <row r="824" spans="4:50" ht="15" customHeight="1" x14ac:dyDescent="0.3">
      <c r="D824" s="604" t="s">
        <v>31</v>
      </c>
      <c r="E824" s="594"/>
      <c r="F824" s="151"/>
      <c r="G824" s="86" t="str">
        <f>IF(F824=$P$4,$Q$4,IF(F824=$P$5,$Q$5,IF(F824=$P$6,$Q$6,IF(F824=$P$7,Q$7,IF(F824=$P$8,"","")))))</f>
        <v/>
      </c>
      <c r="H824" s="201"/>
      <c r="I824" s="201"/>
      <c r="J824" s="168" t="s">
        <v>112</v>
      </c>
      <c r="K824" s="148"/>
      <c r="N824" s="200"/>
      <c r="R824" s="596"/>
      <c r="S824" s="596"/>
      <c r="T824" s="596"/>
      <c r="U824" s="596"/>
      <c r="V824" s="596"/>
      <c r="W824" s="596"/>
      <c r="X824" s="596"/>
      <c r="AA824" s="50"/>
      <c r="AD824" s="604" t="s">
        <v>31</v>
      </c>
      <c r="AE824" s="594"/>
      <c r="AF824" s="383"/>
      <c r="AG824" s="86" t="str">
        <f>IF(AF824=$P$4,$Q$4,IF(AF824=$P$5,$Q$5,IF(AF824=$P$6,$Q$6,IF(AF824=$P$7,AQ$7,IF(AF824=$P$8,"","")))))</f>
        <v/>
      </c>
      <c r="AH824" s="201"/>
      <c r="AI824" s="201"/>
      <c r="AJ824" s="168" t="s">
        <v>112</v>
      </c>
      <c r="AK824" s="382"/>
      <c r="AN824" s="200"/>
      <c r="AR824" s="596"/>
      <c r="AS824" s="596"/>
      <c r="AT824" s="596"/>
      <c r="AU824" s="596"/>
      <c r="AV824" s="596"/>
      <c r="AW824" s="596"/>
      <c r="AX824" s="596"/>
    </row>
    <row r="825" spans="4:50" ht="15" customHeight="1" x14ac:dyDescent="0.3">
      <c r="D825" s="244"/>
      <c r="E825" s="230" t="s">
        <v>52</v>
      </c>
      <c r="F825" s="9" t="s">
        <v>32</v>
      </c>
      <c r="G825" s="9" t="s">
        <v>33</v>
      </c>
      <c r="H825" s="9"/>
      <c r="I825" s="9"/>
      <c r="J825" s="9" t="s">
        <v>34</v>
      </c>
      <c r="K825" s="9"/>
      <c r="L825" s="9"/>
      <c r="M825" s="257" t="s">
        <v>35</v>
      </c>
      <c r="N825" s="202"/>
      <c r="O825" s="9"/>
      <c r="P825" s="198" t="s">
        <v>22</v>
      </c>
      <c r="Q825" s="198"/>
      <c r="R825" s="596"/>
      <c r="S825" s="596"/>
      <c r="T825" s="596"/>
      <c r="U825" s="596"/>
      <c r="V825" s="596"/>
      <c r="W825" s="596"/>
      <c r="X825" s="596"/>
      <c r="AA825" s="50"/>
      <c r="AD825" s="244"/>
      <c r="AE825" s="230" t="s">
        <v>52</v>
      </c>
      <c r="AF825" s="9" t="s">
        <v>32</v>
      </c>
      <c r="AG825" s="9" t="s">
        <v>33</v>
      </c>
      <c r="AH825" s="9"/>
      <c r="AI825" s="9"/>
      <c r="AJ825" s="9" t="s">
        <v>34</v>
      </c>
      <c r="AK825" s="9"/>
      <c r="AL825" s="9"/>
      <c r="AM825" s="257" t="s">
        <v>35</v>
      </c>
      <c r="AN825" s="202"/>
      <c r="AO825" s="9"/>
      <c r="AP825" s="198" t="s">
        <v>22</v>
      </c>
      <c r="AQ825" s="198"/>
      <c r="AR825" s="596"/>
      <c r="AS825" s="596"/>
      <c r="AT825" s="596"/>
      <c r="AU825" s="596"/>
      <c r="AV825" s="596"/>
      <c r="AW825" s="596"/>
      <c r="AX825" s="596"/>
    </row>
    <row r="826" spans="4:50" ht="15" customHeight="1" x14ac:dyDescent="0.3">
      <c r="D826" s="244"/>
      <c r="E826" s="355" t="str">
        <f>IF(OR(M826="",M826=0,J826="",G826=""),"",
(IF(AND(F824=$P$4,M826&lt;=$R$4),$V$4,0)+IF(AND(F824=$P$5,M826&lt;=$R$5),$V$5,0)+IF(AND(F824=$P$6,M826&lt;=$R$6),$V$6,0)+IF(AND(F824=$P$7,M826&lt;=$R$7),$V$7,0))
)</f>
        <v/>
      </c>
      <c r="F826" s="153" t="s">
        <v>302</v>
      </c>
      <c r="G826" s="616"/>
      <c r="H826" s="617"/>
      <c r="I826" s="618"/>
      <c r="J826" s="616"/>
      <c r="K826" s="617"/>
      <c r="L826" s="618"/>
      <c r="M826" s="255"/>
      <c r="N826" s="256"/>
      <c r="O826" s="388"/>
      <c r="P826" s="185">
        <f t="shared" ref="P826" si="1039">IF(F824="",0,1)</f>
        <v>0</v>
      </c>
      <c r="R826" s="185" t="str">
        <f t="shared" ref="R826" si="1040">E826</f>
        <v/>
      </c>
      <c r="S826" s="185" t="str">
        <f t="shared" ref="S826" si="1041">E827</f>
        <v/>
      </c>
      <c r="T826" s="185" t="str">
        <f t="shared" ref="T826" si="1042">E828</f>
        <v/>
      </c>
      <c r="U826" s="185" t="str">
        <f t="shared" ref="U826" si="1043">E829</f>
        <v/>
      </c>
      <c r="V826" s="185" t="str">
        <f t="shared" ref="V826" si="1044">E830</f>
        <v/>
      </c>
      <c r="W826" s="185" t="str">
        <f t="shared" ref="W826" si="1045">E831</f>
        <v/>
      </c>
      <c r="X826" s="185" t="str">
        <f t="shared" ref="X826" si="1046">E832</f>
        <v/>
      </c>
      <c r="AA826" s="50"/>
      <c r="AD826" s="244"/>
      <c r="AE826" s="355" t="str">
        <f>IF(OR(AM826="",AM826=0,AJ826="",AG826=""),"",
(IF(AND(AF824=$P$4,AM826&lt;=$R$4),$V$4,0)+IF(AND(AF824=$P$5,AM826&lt;=$R$5),$V$5,0)+IF(AND(AF824=$P$6,AM826&lt;=$R$6),$V$6,0)+IF(AND(AF824=$P$7,AM826&lt;=$R$7),$V$7,0))
)</f>
        <v/>
      </c>
      <c r="AF826" s="153" t="s">
        <v>302</v>
      </c>
      <c r="AG826" s="598"/>
      <c r="AH826" s="599"/>
      <c r="AI826" s="600"/>
      <c r="AJ826" s="598"/>
      <c r="AK826" s="599"/>
      <c r="AL826" s="600"/>
      <c r="AM826" s="384"/>
      <c r="AN826" s="256"/>
      <c r="AO826" s="388"/>
      <c r="AP826" s="185">
        <f t="shared" ref="AP826" si="1047">IF(AF824="",0,1)</f>
        <v>0</v>
      </c>
      <c r="AR826" s="185" t="str">
        <f t="shared" ref="AR826" si="1048">AE826</f>
        <v/>
      </c>
      <c r="AS826" s="185" t="str">
        <f t="shared" ref="AS826" si="1049">AE827</f>
        <v/>
      </c>
      <c r="AT826" s="185" t="str">
        <f t="shared" ref="AT826" si="1050">AE828</f>
        <v/>
      </c>
      <c r="AU826" s="185" t="str">
        <f t="shared" ref="AU826" si="1051">AE829</f>
        <v/>
      </c>
      <c r="AV826" s="185" t="str">
        <f t="shared" ref="AV826" si="1052">AE830</f>
        <v/>
      </c>
      <c r="AW826" s="185" t="str">
        <f t="shared" ref="AW826" si="1053">AE831</f>
        <v/>
      </c>
      <c r="AX826" s="185" t="str">
        <f t="shared" ref="AX826" si="1054">AE832</f>
        <v/>
      </c>
    </row>
    <row r="827" spans="4:50" ht="15" customHeight="1" x14ac:dyDescent="0.3">
      <c r="D827" s="244"/>
      <c r="E827" s="341" t="str">
        <f>IF(OR(M827="",M827=0,J827="",G827=""),"",
(IF(AND(F824=$P$4,M827&lt;=$R$4),$V$4,0)+IF(AND(F824=$P$5,M827&lt;=$R$5),$V$5,0)+IF(AND(F824=$P$6,M827&lt;=$R$6),$V$6,0)+IF(AND(F824=$P$7,M827&lt;=$R$7),$V$7,0))
)</f>
        <v/>
      </c>
      <c r="F827" s="153" t="s">
        <v>303</v>
      </c>
      <c r="G827" s="616"/>
      <c r="H827" s="617"/>
      <c r="I827" s="618"/>
      <c r="J827" s="616"/>
      <c r="K827" s="617"/>
      <c r="L827" s="618"/>
      <c r="M827" s="255"/>
      <c r="N827" s="256"/>
      <c r="O827" s="388"/>
      <c r="AA827" s="50"/>
      <c r="AD827" s="244"/>
      <c r="AE827" s="341" t="str">
        <f>IF(OR(AM827="",AM827=0,AJ827="",AG827=""),"",
(IF(AND(AF824=$P$4,AM827&lt;=$R$4),$V$4,0)+IF(AND(AF824=$P$5,AM827&lt;=$R$5),$V$5,0)+IF(AND(AF824=$P$6,AM827&lt;=$R$6),$V$6,0)+IF(AND(AF824=$P$7,AM827&lt;=$R$7),$V$7,0))
)</f>
        <v/>
      </c>
      <c r="AF827" s="153" t="s">
        <v>303</v>
      </c>
      <c r="AG827" s="598"/>
      <c r="AH827" s="599"/>
      <c r="AI827" s="600"/>
      <c r="AJ827" s="598"/>
      <c r="AK827" s="599"/>
      <c r="AL827" s="600"/>
      <c r="AM827" s="384"/>
      <c r="AN827" s="256"/>
      <c r="AO827" s="388"/>
    </row>
    <row r="828" spans="4:50" ht="15" customHeight="1" x14ac:dyDescent="0.3">
      <c r="D828" s="244"/>
      <c r="E828" s="341" t="str">
        <f>IF(OR(M828="",M828=0,J828="",G828=""),"",
(IF(AND(F824=$P$4,M828&lt;=$R$4),$V$4,0)+IF(AND(F824=$P$5,M828&lt;=$R$5),$V$5,0)+IF(AND(F824=$P$6,M828&lt;=$R$6),$V$6,0)+IF(AND(F824=$P$7,M828&lt;=$R$7),$V$7,0))
)</f>
        <v/>
      </c>
      <c r="F828" s="153" t="s">
        <v>304</v>
      </c>
      <c r="G828" s="616"/>
      <c r="H828" s="617"/>
      <c r="I828" s="618"/>
      <c r="J828" s="616"/>
      <c r="K828" s="617"/>
      <c r="L828" s="618"/>
      <c r="M828" s="255"/>
      <c r="N828" s="256"/>
      <c r="O828" s="388"/>
      <c r="AA828" s="50"/>
      <c r="AD828" s="244"/>
      <c r="AE828" s="341" t="str">
        <f>IF(OR(AM828="",AM828=0,AJ828="",AG828=""),"",
(IF(AND(AF824=$P$4,AM828&lt;=$R$4),$V$4,0)+IF(AND(AF824=$P$5,AM828&lt;=$R$5),$V$5,0)+IF(AND(AF824=$P$6,AM828&lt;=$R$6),$V$6,0)+IF(AND(AF824=$P$7,AM828&lt;=$R$7),$V$7,0))
)</f>
        <v/>
      </c>
      <c r="AF828" s="153" t="s">
        <v>304</v>
      </c>
      <c r="AG828" s="598"/>
      <c r="AH828" s="599"/>
      <c r="AI828" s="600"/>
      <c r="AJ828" s="598"/>
      <c r="AK828" s="599"/>
      <c r="AL828" s="600"/>
      <c r="AM828" s="384"/>
      <c r="AN828" s="256"/>
      <c r="AO828" s="388"/>
    </row>
    <row r="829" spans="4:50" ht="15" customHeight="1" x14ac:dyDescent="0.3">
      <c r="D829" s="244"/>
      <c r="E829" s="341" t="str">
        <f>IF(OR(M829="",M829=0,J829="",G829=""),"",
(IF(AND(F824=$P$4,M829&lt;=$R$4),$V$4,0)+IF(AND(F824=$P$5,M829&lt;=$R$5),$V$5,0)+IF(AND(F824=$P$6,M829&lt;=$R$6),$V$6,0)+IF(AND(F824=$P$7,M829&lt;=$R$7),$V$7,0))
)</f>
        <v/>
      </c>
      <c r="F829" s="153" t="s">
        <v>305</v>
      </c>
      <c r="G829" s="616"/>
      <c r="H829" s="617"/>
      <c r="I829" s="618"/>
      <c r="J829" s="616"/>
      <c r="K829" s="617"/>
      <c r="L829" s="618"/>
      <c r="M829" s="255"/>
      <c r="N829" s="256"/>
      <c r="O829" s="388"/>
      <c r="AA829" s="50"/>
      <c r="AD829" s="244"/>
      <c r="AE829" s="341" t="str">
        <f>IF(OR(AM829="",AM829=0,AJ829="",AG829=""),"",
(IF(AND(AF824=$P$4,AM829&lt;=$R$4),$V$4,0)+IF(AND(AF824=$P$5,AM829&lt;=$R$5),$V$5,0)+IF(AND(AF824=$P$6,AM829&lt;=$R$6),$V$6,0)+IF(AND(AF824=$P$7,AM829&lt;=$R$7),$V$7,0))
)</f>
        <v/>
      </c>
      <c r="AF829" s="153" t="s">
        <v>305</v>
      </c>
      <c r="AG829" s="598"/>
      <c r="AH829" s="599"/>
      <c r="AI829" s="600"/>
      <c r="AJ829" s="598"/>
      <c r="AK829" s="599"/>
      <c r="AL829" s="600"/>
      <c r="AM829" s="384"/>
      <c r="AN829" s="256"/>
      <c r="AO829" s="388"/>
    </row>
    <row r="830" spans="4:50" x14ac:dyDescent="0.3">
      <c r="D830" s="244"/>
      <c r="E830" s="341" t="str">
        <f>IF(OR(M830="",M830=0,J830="",G830=""),"",
(IF(AND(F824=$P$4,M830&lt;=$R$4),$V$4,0)+IF(AND(F824=$P$5,M830&lt;=$R$5),$V$5,0)+IF(AND(F824=$P$6,M830&lt;=$R$6),$V$6,0)+IF(AND(F824=$P$7,M830&lt;=$R$7),$V$7,0))
)</f>
        <v/>
      </c>
      <c r="F830" s="153" t="s">
        <v>306</v>
      </c>
      <c r="G830" s="616"/>
      <c r="H830" s="617"/>
      <c r="I830" s="618"/>
      <c r="J830" s="616"/>
      <c r="K830" s="617"/>
      <c r="L830" s="618"/>
      <c r="M830" s="255"/>
      <c r="N830" s="256"/>
      <c r="O830" s="388"/>
      <c r="AA830" s="50"/>
      <c r="AD830" s="244"/>
      <c r="AE830" s="341" t="str">
        <f>IF(OR(AM830="",AM830=0,AJ830="",AG830=""),"",
(IF(AND(AF824=$P$4,AM830&lt;=$R$4),$V$4,0)+IF(AND(AF824=$P$5,AM830&lt;=$R$5),$V$5,0)+IF(AND(AF824=$P$6,AM830&lt;=$R$6),$V$6,0)+IF(AND(AF824=$P$7,AM830&lt;=$R$7),$V$7,0))
)</f>
        <v/>
      </c>
      <c r="AF830" s="153" t="s">
        <v>306</v>
      </c>
      <c r="AG830" s="598"/>
      <c r="AH830" s="599"/>
      <c r="AI830" s="600"/>
      <c r="AJ830" s="598"/>
      <c r="AK830" s="599"/>
      <c r="AL830" s="600"/>
      <c r="AM830" s="384"/>
      <c r="AN830" s="256"/>
      <c r="AO830" s="388"/>
    </row>
    <row r="831" spans="4:50" x14ac:dyDescent="0.3">
      <c r="D831" s="244"/>
      <c r="E831" s="341" t="str">
        <f>IF(OR(M831="",M831=0,J831="",G831=""),"",
(IF(AND(F824=$P$4,M831&lt;=$R$4),$V$4,0)+IF(AND(F824=$P$5,M831&lt;=$R$5),$V$5,0)+IF(AND(F824=$P$6,M831&lt;=$R$6),$V$6,0)+IF(AND(F824=$P$7,M831&lt;=$R$7),$V$7,0))
)</f>
        <v/>
      </c>
      <c r="F831" s="153" t="s">
        <v>307</v>
      </c>
      <c r="G831" s="616"/>
      <c r="H831" s="617"/>
      <c r="I831" s="618"/>
      <c r="J831" s="616"/>
      <c r="K831" s="617"/>
      <c r="L831" s="618"/>
      <c r="M831" s="255"/>
      <c r="N831" s="256"/>
      <c r="O831" s="388"/>
      <c r="AA831" s="50"/>
      <c r="AD831" s="244"/>
      <c r="AE831" s="341" t="str">
        <f>IF(OR(AM831="",AM831=0,AJ831="",AG831=""),"",
(IF(AND(AF824=$P$4,AM831&lt;=$R$4),$V$4,0)+IF(AND(AF824=$P$5,AM831&lt;=$R$5),$V$5,0)+IF(AND(AF824=$P$6,AM831&lt;=$R$6),$V$6,0)+IF(AND(AF824=$P$7,AM831&lt;=$R$7),$V$7,0))
)</f>
        <v/>
      </c>
      <c r="AF831" s="153" t="s">
        <v>307</v>
      </c>
      <c r="AG831" s="598"/>
      <c r="AH831" s="599"/>
      <c r="AI831" s="600"/>
      <c r="AJ831" s="598"/>
      <c r="AK831" s="599"/>
      <c r="AL831" s="600"/>
      <c r="AM831" s="384"/>
      <c r="AN831" s="256"/>
      <c r="AO831" s="388"/>
    </row>
    <row r="832" spans="4:50" x14ac:dyDescent="0.3">
      <c r="D832" s="244"/>
      <c r="E832" s="341" t="str">
        <f>IF(OR(M832="",M832=0,J832="",G832=""),"",
(IF(AND(F824=$P$4,M832&lt;=$R$4),$V$4,0)+IF(AND(F824=$P$5,M832&lt;=$R$5),$V$5,0)+IF(AND(F824=$P$6,M832&lt;=$R$6),$V$6,0)+IF(AND(F824=$P$7,M832&lt;=$R$7),$V$7,0))
)</f>
        <v/>
      </c>
      <c r="F832" s="153" t="s">
        <v>308</v>
      </c>
      <c r="G832" s="616"/>
      <c r="H832" s="617"/>
      <c r="I832" s="618"/>
      <c r="J832" s="616"/>
      <c r="K832" s="617"/>
      <c r="L832" s="618"/>
      <c r="M832" s="255"/>
      <c r="N832" s="256"/>
      <c r="O832" s="388"/>
      <c r="AA832" s="50"/>
      <c r="AD832" s="244"/>
      <c r="AE832" s="341" t="str">
        <f>IF(OR(AM832="",AM832=0,AJ832="",AG832=""),"",
(IF(AND(AF824=$P$4,AM832&lt;=$R$4),$V$4,0)+IF(AND(AF824=$P$5,AM832&lt;=$R$5),$V$5,0)+IF(AND(AF824=$P$6,AM832&lt;=$R$6),$V$6,0)+IF(AND(AF824=$P$7,AM832&lt;=$R$7),$V$7,0))
)</f>
        <v/>
      </c>
      <c r="AF832" s="153" t="s">
        <v>308</v>
      </c>
      <c r="AG832" s="598"/>
      <c r="AH832" s="599"/>
      <c r="AI832" s="600"/>
      <c r="AJ832" s="598"/>
      <c r="AK832" s="599"/>
      <c r="AL832" s="600"/>
      <c r="AM832" s="384"/>
      <c r="AN832" s="256"/>
      <c r="AO832" s="388"/>
    </row>
    <row r="833" spans="4:50" ht="16.2" thickBot="1" x14ac:dyDescent="0.35">
      <c r="D833" s="203"/>
      <c r="E833" s="3"/>
      <c r="F833" s="3"/>
      <c r="G833" s="3"/>
      <c r="H833" s="3"/>
      <c r="I833" s="3"/>
      <c r="J833" s="3"/>
      <c r="K833" s="3"/>
      <c r="L833" s="3"/>
      <c r="M833" s="3"/>
      <c r="N833" s="204"/>
      <c r="P833" s="2"/>
      <c r="AA833" s="50"/>
      <c r="AD833" s="203"/>
      <c r="AE833" s="3"/>
      <c r="AF833" s="3"/>
      <c r="AG833" s="3"/>
      <c r="AH833" s="3"/>
      <c r="AI833" s="3"/>
      <c r="AJ833" s="3"/>
      <c r="AK833" s="3"/>
      <c r="AL833" s="3"/>
      <c r="AM833" s="3"/>
      <c r="AN833" s="204"/>
      <c r="AP833" s="2"/>
    </row>
    <row r="834" spans="4:50" ht="15.75" customHeight="1" x14ac:dyDescent="0.3">
      <c r="D834" s="601" t="str">
        <f>IF(
OR(
OR(F836=$P$4,F836=$P$5,F836=$P$6,F836=$P$7),AND(G838="",G839="",G840="",G841="",G842="",G843="",G844="",J838="",J839="",J840="",J841="",J842="",J843="",J844="",M838="",M839="",M840="",M841="",M842="",M843="",M844="",K835="",K836="")
),
"",
"A Set-Aside must be selected."
)</f>
        <v/>
      </c>
      <c r="E834" s="602"/>
      <c r="F834" s="602"/>
      <c r="G834" s="602"/>
      <c r="H834" s="602"/>
      <c r="I834" s="602"/>
      <c r="J834" s="602"/>
      <c r="K834" s="602"/>
      <c r="L834" s="602"/>
      <c r="M834" s="602"/>
      <c r="N834" s="603"/>
      <c r="O834" s="2"/>
      <c r="AA834" s="50"/>
      <c r="AD834" s="601" t="str">
        <f>IF(
OR(
OR(AF836=$P$4,AF836=$P$5,AF836=$P$6,AF836=$P$7),AND(AG838="",AG839="",AG840="",AG841="",AG842="",AG843="",AG844="",AJ838="",AJ839="",AJ840="",AJ841="",AJ842="",AJ843="",AJ844="",AM838="",AM839="",AM840="",AM841="",AM842="",AM843="",AM844="",AK835="",AK836="")
),
"",
"A Set-Aside must be selected."
)</f>
        <v/>
      </c>
      <c r="AE834" s="602"/>
      <c r="AF834" s="602"/>
      <c r="AG834" s="602"/>
      <c r="AH834" s="602"/>
      <c r="AI834" s="602"/>
      <c r="AJ834" s="602"/>
      <c r="AK834" s="602"/>
      <c r="AL834" s="602"/>
      <c r="AM834" s="602"/>
      <c r="AN834" s="603"/>
      <c r="AO834" s="2"/>
    </row>
    <row r="835" spans="4:50" ht="15.75" customHeight="1" x14ac:dyDescent="0.3">
      <c r="D835" s="199"/>
      <c r="E835" s="9" t="s">
        <v>30</v>
      </c>
      <c r="F835" s="86">
        <f>F823+1</f>
        <v>67</v>
      </c>
      <c r="G835" s="9" t="s">
        <v>175</v>
      </c>
      <c r="H835" s="9"/>
      <c r="I835" s="9"/>
      <c r="J835" s="168" t="s">
        <v>111</v>
      </c>
      <c r="K835" s="148"/>
      <c r="N835" s="200"/>
      <c r="R835" s="596" t="s">
        <v>302</v>
      </c>
      <c r="S835" s="596" t="s">
        <v>303</v>
      </c>
      <c r="T835" s="596" t="s">
        <v>304</v>
      </c>
      <c r="U835" s="596" t="s">
        <v>305</v>
      </c>
      <c r="V835" s="596" t="s">
        <v>306</v>
      </c>
      <c r="W835" s="596" t="s">
        <v>307</v>
      </c>
      <c r="X835" s="596" t="s">
        <v>308</v>
      </c>
      <c r="AA835" s="50"/>
      <c r="AD835" s="199"/>
      <c r="AE835" s="9" t="s">
        <v>30</v>
      </c>
      <c r="AF835" s="86">
        <f>AF823+1</f>
        <v>67</v>
      </c>
      <c r="AG835" s="9" t="s">
        <v>175</v>
      </c>
      <c r="AH835" s="9"/>
      <c r="AI835" s="9"/>
      <c r="AJ835" s="168" t="s">
        <v>111</v>
      </c>
      <c r="AK835" s="382"/>
      <c r="AN835" s="200"/>
      <c r="AR835" s="596" t="s">
        <v>302</v>
      </c>
      <c r="AS835" s="596" t="s">
        <v>303</v>
      </c>
      <c r="AT835" s="596" t="s">
        <v>304</v>
      </c>
      <c r="AU835" s="596" t="s">
        <v>305</v>
      </c>
      <c r="AV835" s="596" t="s">
        <v>306</v>
      </c>
      <c r="AW835" s="596" t="s">
        <v>307</v>
      </c>
      <c r="AX835" s="596" t="s">
        <v>308</v>
      </c>
    </row>
    <row r="836" spans="4:50" ht="15" customHeight="1" x14ac:dyDescent="0.3">
      <c r="D836" s="604" t="s">
        <v>31</v>
      </c>
      <c r="E836" s="594"/>
      <c r="F836" s="151"/>
      <c r="G836" s="86" t="str">
        <f>IF(F836=$P$4,$Q$4,IF(F836=$P$5,$Q$5,IF(F836=$P$6,$Q$6,IF(F836=$P$7,Q$7,IF(F836=$P$8,"","")))))</f>
        <v/>
      </c>
      <c r="H836" s="201"/>
      <c r="I836" s="201"/>
      <c r="J836" s="168" t="s">
        <v>112</v>
      </c>
      <c r="K836" s="148"/>
      <c r="N836" s="200"/>
      <c r="R836" s="596"/>
      <c r="S836" s="596"/>
      <c r="T836" s="596"/>
      <c r="U836" s="596"/>
      <c r="V836" s="596"/>
      <c r="W836" s="596"/>
      <c r="X836" s="596"/>
      <c r="AA836" s="50"/>
      <c r="AD836" s="604" t="s">
        <v>31</v>
      </c>
      <c r="AE836" s="594"/>
      <c r="AF836" s="383"/>
      <c r="AG836" s="86" t="str">
        <f>IF(AF836=$P$4,$Q$4,IF(AF836=$P$5,$Q$5,IF(AF836=$P$6,$Q$6,IF(AF836=$P$7,AQ$7,IF(AF836=$P$8,"","")))))</f>
        <v/>
      </c>
      <c r="AH836" s="201"/>
      <c r="AI836" s="201"/>
      <c r="AJ836" s="168" t="s">
        <v>112</v>
      </c>
      <c r="AK836" s="382"/>
      <c r="AN836" s="200"/>
      <c r="AR836" s="596"/>
      <c r="AS836" s="596"/>
      <c r="AT836" s="596"/>
      <c r="AU836" s="596"/>
      <c r="AV836" s="596"/>
      <c r="AW836" s="596"/>
      <c r="AX836" s="596"/>
    </row>
    <row r="837" spans="4:50" ht="15" customHeight="1" x14ac:dyDescent="0.3">
      <c r="D837" s="244"/>
      <c r="E837" s="230" t="s">
        <v>52</v>
      </c>
      <c r="F837" s="9" t="s">
        <v>32</v>
      </c>
      <c r="G837" s="9" t="s">
        <v>33</v>
      </c>
      <c r="H837" s="9"/>
      <c r="I837" s="9"/>
      <c r="J837" s="9" t="s">
        <v>34</v>
      </c>
      <c r="K837" s="9"/>
      <c r="L837" s="9"/>
      <c r="M837" s="257" t="s">
        <v>35</v>
      </c>
      <c r="N837" s="202"/>
      <c r="O837" s="9"/>
      <c r="P837" s="198" t="s">
        <v>22</v>
      </c>
      <c r="Q837" s="198"/>
      <c r="R837" s="596"/>
      <c r="S837" s="596"/>
      <c r="T837" s="596"/>
      <c r="U837" s="596"/>
      <c r="V837" s="596"/>
      <c r="W837" s="596"/>
      <c r="X837" s="596"/>
      <c r="AA837" s="50"/>
      <c r="AD837" s="244"/>
      <c r="AE837" s="230" t="s">
        <v>52</v>
      </c>
      <c r="AF837" s="9" t="s">
        <v>32</v>
      </c>
      <c r="AG837" s="9" t="s">
        <v>33</v>
      </c>
      <c r="AH837" s="9"/>
      <c r="AI837" s="9"/>
      <c r="AJ837" s="9" t="s">
        <v>34</v>
      </c>
      <c r="AK837" s="9"/>
      <c r="AL837" s="9"/>
      <c r="AM837" s="257" t="s">
        <v>35</v>
      </c>
      <c r="AN837" s="202"/>
      <c r="AO837" s="9"/>
      <c r="AP837" s="198" t="s">
        <v>22</v>
      </c>
      <c r="AQ837" s="198"/>
      <c r="AR837" s="596"/>
      <c r="AS837" s="596"/>
      <c r="AT837" s="596"/>
      <c r="AU837" s="596"/>
      <c r="AV837" s="596"/>
      <c r="AW837" s="596"/>
      <c r="AX837" s="596"/>
    </row>
    <row r="838" spans="4:50" ht="15" customHeight="1" x14ac:dyDescent="0.3">
      <c r="D838" s="244"/>
      <c r="E838" s="355" t="str">
        <f>IF(OR(M838="",M838=0,J838="",G838=""),"",
(IF(AND(F836=$P$4,M838&lt;=$R$4),$V$4,0)+IF(AND(F836=$P$5,M838&lt;=$R$5),$V$5,0)+IF(AND(F836=$P$6,M838&lt;=$R$6),$V$6,0)+IF(AND(F836=$P$7,M838&lt;=$R$7),$V$7,0))
)</f>
        <v/>
      </c>
      <c r="F838" s="153" t="s">
        <v>302</v>
      </c>
      <c r="G838" s="616"/>
      <c r="H838" s="617"/>
      <c r="I838" s="618"/>
      <c r="J838" s="616"/>
      <c r="K838" s="617"/>
      <c r="L838" s="618"/>
      <c r="M838" s="255"/>
      <c r="N838" s="256"/>
      <c r="O838" s="388"/>
      <c r="P838" s="185">
        <f t="shared" ref="P838" si="1055">IF(F836="",0,1)</f>
        <v>0</v>
      </c>
      <c r="R838" s="185" t="str">
        <f t="shared" ref="R838" si="1056">E838</f>
        <v/>
      </c>
      <c r="S838" s="185" t="str">
        <f t="shared" ref="S838" si="1057">E839</f>
        <v/>
      </c>
      <c r="T838" s="185" t="str">
        <f t="shared" ref="T838" si="1058">E840</f>
        <v/>
      </c>
      <c r="U838" s="185" t="str">
        <f t="shared" ref="U838" si="1059">E841</f>
        <v/>
      </c>
      <c r="V838" s="185" t="str">
        <f t="shared" ref="V838" si="1060">E842</f>
        <v/>
      </c>
      <c r="W838" s="185" t="str">
        <f t="shared" ref="W838" si="1061">E843</f>
        <v/>
      </c>
      <c r="X838" s="185" t="str">
        <f t="shared" ref="X838" si="1062">E844</f>
        <v/>
      </c>
      <c r="AA838" s="50"/>
      <c r="AD838" s="244"/>
      <c r="AE838" s="355" t="str">
        <f>IF(OR(AM838="",AM838=0,AJ838="",AG838=""),"",
(IF(AND(AF836=$P$4,AM838&lt;=$R$4),$V$4,0)+IF(AND(AF836=$P$5,AM838&lt;=$R$5),$V$5,0)+IF(AND(AF836=$P$6,AM838&lt;=$R$6),$V$6,0)+IF(AND(AF836=$P$7,AM838&lt;=$R$7),$V$7,0))
)</f>
        <v/>
      </c>
      <c r="AF838" s="153" t="s">
        <v>302</v>
      </c>
      <c r="AG838" s="598"/>
      <c r="AH838" s="599"/>
      <c r="AI838" s="600"/>
      <c r="AJ838" s="598"/>
      <c r="AK838" s="599"/>
      <c r="AL838" s="600"/>
      <c r="AM838" s="384"/>
      <c r="AN838" s="256"/>
      <c r="AO838" s="388"/>
      <c r="AP838" s="185">
        <f t="shared" ref="AP838" si="1063">IF(AF836="",0,1)</f>
        <v>0</v>
      </c>
      <c r="AR838" s="185" t="str">
        <f t="shared" ref="AR838" si="1064">AE838</f>
        <v/>
      </c>
      <c r="AS838" s="185" t="str">
        <f t="shared" ref="AS838" si="1065">AE839</f>
        <v/>
      </c>
      <c r="AT838" s="185" t="str">
        <f t="shared" ref="AT838" si="1066">AE840</f>
        <v/>
      </c>
      <c r="AU838" s="185" t="str">
        <f t="shared" ref="AU838" si="1067">AE841</f>
        <v/>
      </c>
      <c r="AV838" s="185" t="str">
        <f t="shared" ref="AV838" si="1068">AE842</f>
        <v/>
      </c>
      <c r="AW838" s="185" t="str">
        <f t="shared" ref="AW838" si="1069">AE843</f>
        <v/>
      </c>
      <c r="AX838" s="185" t="str">
        <f t="shared" ref="AX838" si="1070">AE844</f>
        <v/>
      </c>
    </row>
    <row r="839" spans="4:50" ht="15" customHeight="1" x14ac:dyDescent="0.3">
      <c r="D839" s="244"/>
      <c r="E839" s="341" t="str">
        <f>IF(OR(M839="",M839=0,J839="",G839=""),"",
(IF(AND(F836=$P$4,M839&lt;=$R$4),$V$4,0)+IF(AND(F836=$P$5,M839&lt;=$R$5),$V$5,0)+IF(AND(F836=$P$6,M839&lt;=$R$6),$V$6,0)+IF(AND(F836=$P$7,M839&lt;=$R$7),$V$7,0))
)</f>
        <v/>
      </c>
      <c r="F839" s="153" t="s">
        <v>303</v>
      </c>
      <c r="G839" s="616"/>
      <c r="H839" s="617"/>
      <c r="I839" s="618"/>
      <c r="J839" s="616"/>
      <c r="K839" s="617"/>
      <c r="L839" s="618"/>
      <c r="M839" s="255"/>
      <c r="N839" s="256"/>
      <c r="O839" s="388"/>
      <c r="AA839" s="50"/>
      <c r="AD839" s="244"/>
      <c r="AE839" s="341" t="str">
        <f>IF(OR(AM839="",AM839=0,AJ839="",AG839=""),"",
(IF(AND(AF836=$P$4,AM839&lt;=$R$4),$V$4,0)+IF(AND(AF836=$P$5,AM839&lt;=$R$5),$V$5,0)+IF(AND(AF836=$P$6,AM839&lt;=$R$6),$V$6,0)+IF(AND(AF836=$P$7,AM839&lt;=$R$7),$V$7,0))
)</f>
        <v/>
      </c>
      <c r="AF839" s="153" t="s">
        <v>303</v>
      </c>
      <c r="AG839" s="598"/>
      <c r="AH839" s="599"/>
      <c r="AI839" s="600"/>
      <c r="AJ839" s="598"/>
      <c r="AK839" s="599"/>
      <c r="AL839" s="600"/>
      <c r="AM839" s="384"/>
      <c r="AN839" s="256"/>
      <c r="AO839" s="388"/>
    </row>
    <row r="840" spans="4:50" ht="15" customHeight="1" x14ac:dyDescent="0.3">
      <c r="D840" s="244"/>
      <c r="E840" s="341" t="str">
        <f>IF(OR(M840="",M840=0,J840="",G840=""),"",
(IF(AND(F836=$P$4,M840&lt;=$R$4),$V$4,0)+IF(AND(F836=$P$5,M840&lt;=$R$5),$V$5,0)+IF(AND(F836=$P$6,M840&lt;=$R$6),$V$6,0)+IF(AND(F836=$P$7,M840&lt;=$R$7),$V$7,0))
)</f>
        <v/>
      </c>
      <c r="F840" s="153" t="s">
        <v>304</v>
      </c>
      <c r="G840" s="616"/>
      <c r="H840" s="617"/>
      <c r="I840" s="618"/>
      <c r="J840" s="616"/>
      <c r="K840" s="617"/>
      <c r="L840" s="618"/>
      <c r="M840" s="255"/>
      <c r="N840" s="256"/>
      <c r="O840" s="388"/>
      <c r="AA840" s="50"/>
      <c r="AD840" s="244"/>
      <c r="AE840" s="341" t="str">
        <f>IF(OR(AM840="",AM840=0,AJ840="",AG840=""),"",
(IF(AND(AF836=$P$4,AM840&lt;=$R$4),$V$4,0)+IF(AND(AF836=$P$5,AM840&lt;=$R$5),$V$5,0)+IF(AND(AF836=$P$6,AM840&lt;=$R$6),$V$6,0)+IF(AND(AF836=$P$7,AM840&lt;=$R$7),$V$7,0))
)</f>
        <v/>
      </c>
      <c r="AF840" s="153" t="s">
        <v>304</v>
      </c>
      <c r="AG840" s="598"/>
      <c r="AH840" s="599"/>
      <c r="AI840" s="600"/>
      <c r="AJ840" s="598"/>
      <c r="AK840" s="599"/>
      <c r="AL840" s="600"/>
      <c r="AM840" s="384"/>
      <c r="AN840" s="256"/>
      <c r="AO840" s="388"/>
    </row>
    <row r="841" spans="4:50" ht="15" customHeight="1" x14ac:dyDescent="0.3">
      <c r="D841" s="244"/>
      <c r="E841" s="341" t="str">
        <f>IF(OR(M841="",M841=0,J841="",G841=""),"",
(IF(AND(F836=$P$4,M841&lt;=$R$4),$V$4,0)+IF(AND(F836=$P$5,M841&lt;=$R$5),$V$5,0)+IF(AND(F836=$P$6,M841&lt;=$R$6),$V$6,0)+IF(AND(F836=$P$7,M841&lt;=$R$7),$V$7,0))
)</f>
        <v/>
      </c>
      <c r="F841" s="153" t="s">
        <v>305</v>
      </c>
      <c r="G841" s="616"/>
      <c r="H841" s="617"/>
      <c r="I841" s="618"/>
      <c r="J841" s="616"/>
      <c r="K841" s="617"/>
      <c r="L841" s="618"/>
      <c r="M841" s="255"/>
      <c r="N841" s="256"/>
      <c r="O841" s="388"/>
      <c r="AA841" s="50"/>
      <c r="AD841" s="244"/>
      <c r="AE841" s="341" t="str">
        <f>IF(OR(AM841="",AM841=0,AJ841="",AG841=""),"",
(IF(AND(AF836=$P$4,AM841&lt;=$R$4),$V$4,0)+IF(AND(AF836=$P$5,AM841&lt;=$R$5),$V$5,0)+IF(AND(AF836=$P$6,AM841&lt;=$R$6),$V$6,0)+IF(AND(AF836=$P$7,AM841&lt;=$R$7),$V$7,0))
)</f>
        <v/>
      </c>
      <c r="AF841" s="153" t="s">
        <v>305</v>
      </c>
      <c r="AG841" s="598"/>
      <c r="AH841" s="599"/>
      <c r="AI841" s="600"/>
      <c r="AJ841" s="598"/>
      <c r="AK841" s="599"/>
      <c r="AL841" s="600"/>
      <c r="AM841" s="384"/>
      <c r="AN841" s="256"/>
      <c r="AO841" s="388"/>
    </row>
    <row r="842" spans="4:50" ht="15" customHeight="1" x14ac:dyDescent="0.3">
      <c r="D842" s="244"/>
      <c r="E842" s="341" t="str">
        <f>IF(OR(M842="",M842=0,J842="",G842=""),"",
(IF(AND(F836=$P$4,M842&lt;=$R$4),$V$4,0)+IF(AND(F836=$P$5,M842&lt;=$R$5),$V$5,0)+IF(AND(F836=$P$6,M842&lt;=$R$6),$V$6,0)+IF(AND(F836=$P$7,M842&lt;=$R$7),$V$7,0))
)</f>
        <v/>
      </c>
      <c r="F842" s="153" t="s">
        <v>306</v>
      </c>
      <c r="G842" s="616"/>
      <c r="H842" s="617"/>
      <c r="I842" s="618"/>
      <c r="J842" s="616"/>
      <c r="K842" s="617"/>
      <c r="L842" s="618"/>
      <c r="M842" s="255"/>
      <c r="N842" s="256"/>
      <c r="O842" s="388"/>
      <c r="AA842" s="50"/>
      <c r="AD842" s="244"/>
      <c r="AE842" s="341" t="str">
        <f>IF(OR(AM842="",AM842=0,AJ842="",AG842=""),"",
(IF(AND(AF836=$P$4,AM842&lt;=$R$4),$V$4,0)+IF(AND(AF836=$P$5,AM842&lt;=$R$5),$V$5,0)+IF(AND(AF836=$P$6,AM842&lt;=$R$6),$V$6,0)+IF(AND(AF836=$P$7,AM842&lt;=$R$7),$V$7,0))
)</f>
        <v/>
      </c>
      <c r="AF842" s="153" t="s">
        <v>306</v>
      </c>
      <c r="AG842" s="598"/>
      <c r="AH842" s="599"/>
      <c r="AI842" s="600"/>
      <c r="AJ842" s="598"/>
      <c r="AK842" s="599"/>
      <c r="AL842" s="600"/>
      <c r="AM842" s="384"/>
      <c r="AN842" s="256"/>
      <c r="AO842" s="388"/>
    </row>
    <row r="843" spans="4:50" ht="15" customHeight="1" x14ac:dyDescent="0.3">
      <c r="D843" s="244"/>
      <c r="E843" s="341" t="str">
        <f>IF(OR(M843="",M843=0,J843="",G843=""),"",
(IF(AND(F836=$P$4,M843&lt;=$R$4),$V$4,0)+IF(AND(F836=$P$5,M843&lt;=$R$5),$V$5,0)+IF(AND(F836=$P$6,M843&lt;=$R$6),$V$6,0)+IF(AND(F836=$P$7,M843&lt;=$R$7),$V$7,0))
)</f>
        <v/>
      </c>
      <c r="F843" s="153" t="s">
        <v>307</v>
      </c>
      <c r="G843" s="616"/>
      <c r="H843" s="617"/>
      <c r="I843" s="618"/>
      <c r="J843" s="616"/>
      <c r="K843" s="617"/>
      <c r="L843" s="618"/>
      <c r="M843" s="255"/>
      <c r="N843" s="256"/>
      <c r="O843" s="388"/>
      <c r="AA843" s="50"/>
      <c r="AD843" s="244"/>
      <c r="AE843" s="341" t="str">
        <f>IF(OR(AM843="",AM843=0,AJ843="",AG843=""),"",
(IF(AND(AF836=$P$4,AM843&lt;=$R$4),$V$4,0)+IF(AND(AF836=$P$5,AM843&lt;=$R$5),$V$5,0)+IF(AND(AF836=$P$6,AM843&lt;=$R$6),$V$6,0)+IF(AND(AF836=$P$7,AM843&lt;=$R$7),$V$7,0))
)</f>
        <v/>
      </c>
      <c r="AF843" s="153" t="s">
        <v>307</v>
      </c>
      <c r="AG843" s="598"/>
      <c r="AH843" s="599"/>
      <c r="AI843" s="600"/>
      <c r="AJ843" s="598"/>
      <c r="AK843" s="599"/>
      <c r="AL843" s="600"/>
      <c r="AM843" s="384"/>
      <c r="AN843" s="256"/>
      <c r="AO843" s="388"/>
    </row>
    <row r="844" spans="4:50" x14ac:dyDescent="0.3">
      <c r="D844" s="244"/>
      <c r="E844" s="341" t="str">
        <f>IF(OR(M844="",M844=0,J844="",G844=""),"",
(IF(AND(F836=$P$4,M844&lt;=$R$4),$V$4,0)+IF(AND(F836=$P$5,M844&lt;=$R$5),$V$5,0)+IF(AND(F836=$P$6,M844&lt;=$R$6),$V$6,0)+IF(AND(F836=$P$7,M844&lt;=$R$7),$V$7,0))
)</f>
        <v/>
      </c>
      <c r="F844" s="153" t="s">
        <v>308</v>
      </c>
      <c r="G844" s="616"/>
      <c r="H844" s="617"/>
      <c r="I844" s="618"/>
      <c r="J844" s="616"/>
      <c r="K844" s="617"/>
      <c r="L844" s="618"/>
      <c r="M844" s="255"/>
      <c r="N844" s="256"/>
      <c r="O844" s="388"/>
      <c r="AA844" s="50"/>
      <c r="AD844" s="244"/>
      <c r="AE844" s="341" t="str">
        <f>IF(OR(AM844="",AM844=0,AJ844="",AG844=""),"",
(IF(AND(AF836=$P$4,AM844&lt;=$R$4),$V$4,0)+IF(AND(AF836=$P$5,AM844&lt;=$R$5),$V$5,0)+IF(AND(AF836=$P$6,AM844&lt;=$R$6),$V$6,0)+IF(AND(AF836=$P$7,AM844&lt;=$R$7),$V$7,0))
)</f>
        <v/>
      </c>
      <c r="AF844" s="153" t="s">
        <v>308</v>
      </c>
      <c r="AG844" s="598"/>
      <c r="AH844" s="599"/>
      <c r="AI844" s="600"/>
      <c r="AJ844" s="598"/>
      <c r="AK844" s="599"/>
      <c r="AL844" s="600"/>
      <c r="AM844" s="384"/>
      <c r="AN844" s="256"/>
      <c r="AO844" s="388"/>
    </row>
    <row r="845" spans="4:50" ht="16.2" thickBot="1" x14ac:dyDescent="0.35">
      <c r="D845" s="203"/>
      <c r="E845" s="3"/>
      <c r="F845" s="3"/>
      <c r="G845" s="3"/>
      <c r="H845" s="3"/>
      <c r="I845" s="3"/>
      <c r="J845" s="3"/>
      <c r="K845" s="3"/>
      <c r="L845" s="3"/>
      <c r="M845" s="3"/>
      <c r="N845" s="204"/>
      <c r="P845" s="2"/>
      <c r="AA845" s="50"/>
      <c r="AD845" s="203"/>
      <c r="AE845" s="3"/>
      <c r="AF845" s="3"/>
      <c r="AG845" s="3"/>
      <c r="AH845" s="3"/>
      <c r="AI845" s="3"/>
      <c r="AJ845" s="3"/>
      <c r="AK845" s="3"/>
      <c r="AL845" s="3"/>
      <c r="AM845" s="3"/>
      <c r="AN845" s="204"/>
      <c r="AP845" s="2"/>
    </row>
    <row r="846" spans="4:50" x14ac:dyDescent="0.3">
      <c r="D846" s="601" t="str">
        <f>IF(
OR(
OR(F848=$P$4,F848=$P$5,F848=$P$6,F848=$P$7),AND(G850="",G851="",G852="",G853="",G854="",G855="",G856="",J850="",J851="",J852="",J853="",J854="",J855="",J856="",M850="",M851="",M852="",M853="",M854="",M855="",M856="",K847="",K848="")
),
"",
"A Set-Aside must be selected."
)</f>
        <v/>
      </c>
      <c r="E846" s="602"/>
      <c r="F846" s="602"/>
      <c r="G846" s="602"/>
      <c r="H846" s="602"/>
      <c r="I846" s="602"/>
      <c r="J846" s="602"/>
      <c r="K846" s="602"/>
      <c r="L846" s="602"/>
      <c r="M846" s="602"/>
      <c r="N846" s="603"/>
      <c r="O846" s="2"/>
      <c r="AD846" s="601" t="str">
        <f>IF(
OR(
OR(AF848=$P$4,AF848=$P$5,AF848=$P$6,AF848=$P$7),AND(AG850="",AG851="",AG852="",AG853="",AG854="",AG855="",AG856="",AJ850="",AJ851="",AJ852="",AJ853="",AJ854="",AJ855="",AJ856="",AM850="",AM851="",AM852="",AM853="",AM854="",AM855="",AM856="",AK847="",AK848="")
),
"",
"A Set-Aside must be selected."
)</f>
        <v/>
      </c>
      <c r="AE846" s="602"/>
      <c r="AF846" s="602"/>
      <c r="AG846" s="602"/>
      <c r="AH846" s="602"/>
      <c r="AI846" s="602"/>
      <c r="AJ846" s="602"/>
      <c r="AK846" s="602"/>
      <c r="AL846" s="602"/>
      <c r="AM846" s="602"/>
      <c r="AN846" s="603"/>
      <c r="AO846" s="2"/>
    </row>
    <row r="847" spans="4:50" ht="15.75" customHeight="1" x14ac:dyDescent="0.3">
      <c r="D847" s="199"/>
      <c r="E847" s="9" t="s">
        <v>30</v>
      </c>
      <c r="F847" s="86">
        <f>F835+1</f>
        <v>68</v>
      </c>
      <c r="G847" s="9" t="s">
        <v>175</v>
      </c>
      <c r="H847" s="9"/>
      <c r="I847" s="9"/>
      <c r="J847" s="168" t="s">
        <v>111</v>
      </c>
      <c r="K847" s="148"/>
      <c r="N847" s="200"/>
      <c r="R847" s="596" t="s">
        <v>302</v>
      </c>
      <c r="S847" s="596" t="s">
        <v>303</v>
      </c>
      <c r="T847" s="596" t="s">
        <v>304</v>
      </c>
      <c r="U847" s="596" t="s">
        <v>305</v>
      </c>
      <c r="V847" s="596" t="s">
        <v>306</v>
      </c>
      <c r="W847" s="596" t="s">
        <v>307</v>
      </c>
      <c r="X847" s="596" t="s">
        <v>308</v>
      </c>
      <c r="AD847" s="199"/>
      <c r="AE847" s="9" t="s">
        <v>30</v>
      </c>
      <c r="AF847" s="86">
        <f>AF835+1</f>
        <v>68</v>
      </c>
      <c r="AG847" s="9" t="s">
        <v>175</v>
      </c>
      <c r="AH847" s="9"/>
      <c r="AI847" s="9"/>
      <c r="AJ847" s="168" t="s">
        <v>111</v>
      </c>
      <c r="AK847" s="382"/>
      <c r="AN847" s="200"/>
      <c r="AR847" s="596" t="s">
        <v>302</v>
      </c>
      <c r="AS847" s="596" t="s">
        <v>303</v>
      </c>
      <c r="AT847" s="596" t="s">
        <v>304</v>
      </c>
      <c r="AU847" s="596" t="s">
        <v>305</v>
      </c>
      <c r="AV847" s="596" t="s">
        <v>306</v>
      </c>
      <c r="AW847" s="596" t="s">
        <v>307</v>
      </c>
      <c r="AX847" s="596" t="s">
        <v>308</v>
      </c>
    </row>
    <row r="848" spans="4:50" x14ac:dyDescent="0.3">
      <c r="D848" s="604" t="s">
        <v>31</v>
      </c>
      <c r="E848" s="594"/>
      <c r="F848" s="151"/>
      <c r="G848" s="86" t="str">
        <f>IF(F848=$P$4,$Q$4,IF(F848=$P$5,$Q$5,IF(F848=$P$6,$Q$6,IF(F848=$P$7,Q$7,IF(F848=$P$8,"","")))))</f>
        <v/>
      </c>
      <c r="H848" s="201"/>
      <c r="I848" s="201"/>
      <c r="J848" s="168" t="s">
        <v>112</v>
      </c>
      <c r="K848" s="148"/>
      <c r="N848" s="200"/>
      <c r="R848" s="596"/>
      <c r="S848" s="596"/>
      <c r="T848" s="596"/>
      <c r="U848" s="596"/>
      <c r="V848" s="596"/>
      <c r="W848" s="596"/>
      <c r="X848" s="596"/>
      <c r="AD848" s="604" t="s">
        <v>31</v>
      </c>
      <c r="AE848" s="594"/>
      <c r="AF848" s="383"/>
      <c r="AG848" s="86" t="str">
        <f>IF(AF848=$P$4,$Q$4,IF(AF848=$P$5,$Q$5,IF(AF848=$P$6,$Q$6,IF(AF848=$P$7,AQ$7,IF(AF848=$P$8,"","")))))</f>
        <v/>
      </c>
      <c r="AH848" s="201"/>
      <c r="AI848" s="201"/>
      <c r="AJ848" s="168" t="s">
        <v>112</v>
      </c>
      <c r="AK848" s="382"/>
      <c r="AN848" s="200"/>
      <c r="AR848" s="596"/>
      <c r="AS848" s="596"/>
      <c r="AT848" s="596"/>
      <c r="AU848" s="596"/>
      <c r="AV848" s="596"/>
      <c r="AW848" s="596"/>
      <c r="AX848" s="596"/>
    </row>
    <row r="849" spans="4:50" x14ac:dyDescent="0.3">
      <c r="D849" s="244"/>
      <c r="E849" s="230" t="s">
        <v>52</v>
      </c>
      <c r="F849" s="9" t="s">
        <v>32</v>
      </c>
      <c r="G849" s="9" t="s">
        <v>33</v>
      </c>
      <c r="H849" s="9"/>
      <c r="I849" s="9"/>
      <c r="J849" s="9" t="s">
        <v>34</v>
      </c>
      <c r="K849" s="9"/>
      <c r="L849" s="9"/>
      <c r="M849" s="257" t="s">
        <v>35</v>
      </c>
      <c r="N849" s="202"/>
      <c r="O849" s="9"/>
      <c r="P849" s="198" t="s">
        <v>22</v>
      </c>
      <c r="Q849" s="198"/>
      <c r="R849" s="596"/>
      <c r="S849" s="596"/>
      <c r="T849" s="596"/>
      <c r="U849" s="596"/>
      <c r="V849" s="596"/>
      <c r="W849" s="596"/>
      <c r="X849" s="596"/>
      <c r="AD849" s="244"/>
      <c r="AE849" s="230" t="s">
        <v>52</v>
      </c>
      <c r="AF849" s="9" t="s">
        <v>32</v>
      </c>
      <c r="AG849" s="9" t="s">
        <v>33</v>
      </c>
      <c r="AH849" s="9"/>
      <c r="AI849" s="9"/>
      <c r="AJ849" s="9" t="s">
        <v>34</v>
      </c>
      <c r="AK849" s="9"/>
      <c r="AL849" s="9"/>
      <c r="AM849" s="257" t="s">
        <v>35</v>
      </c>
      <c r="AN849" s="202"/>
      <c r="AO849" s="9"/>
      <c r="AP849" s="198" t="s">
        <v>22</v>
      </c>
      <c r="AQ849" s="198"/>
      <c r="AR849" s="596"/>
      <c r="AS849" s="596"/>
      <c r="AT849" s="596"/>
      <c r="AU849" s="596"/>
      <c r="AV849" s="596"/>
      <c r="AW849" s="596"/>
      <c r="AX849" s="596"/>
    </row>
    <row r="850" spans="4:50" x14ac:dyDescent="0.3">
      <c r="D850" s="244"/>
      <c r="E850" s="355" t="str">
        <f>IF(OR(M850="",M850=0,J850="",G850=""),"",
(IF(AND(F848=$P$4,M850&lt;=$R$4),$V$4,0)+IF(AND(F848=$P$5,M850&lt;=$R$5),$V$5,0)+IF(AND(F848=$P$6,M850&lt;=$R$6),$V$6,0)+IF(AND(F848=$P$7,M850&lt;=$R$7),$V$7,0))
)</f>
        <v/>
      </c>
      <c r="F850" s="153" t="s">
        <v>302</v>
      </c>
      <c r="G850" s="616"/>
      <c r="H850" s="617"/>
      <c r="I850" s="618"/>
      <c r="J850" s="616"/>
      <c r="K850" s="617"/>
      <c r="L850" s="618"/>
      <c r="M850" s="255"/>
      <c r="N850" s="256"/>
      <c r="O850" s="388"/>
      <c r="P850" s="185">
        <f t="shared" ref="P850" si="1071">IF(F848="",0,1)</f>
        <v>0</v>
      </c>
      <c r="R850" s="185" t="str">
        <f t="shared" ref="R850" si="1072">E850</f>
        <v/>
      </c>
      <c r="S850" s="185" t="str">
        <f t="shared" ref="S850" si="1073">E851</f>
        <v/>
      </c>
      <c r="T850" s="185" t="str">
        <f t="shared" ref="T850" si="1074">E852</f>
        <v/>
      </c>
      <c r="U850" s="185" t="str">
        <f t="shared" ref="U850" si="1075">E853</f>
        <v/>
      </c>
      <c r="V850" s="185" t="str">
        <f t="shared" ref="V850" si="1076">E854</f>
        <v/>
      </c>
      <c r="W850" s="185" t="str">
        <f t="shared" ref="W850" si="1077">E855</f>
        <v/>
      </c>
      <c r="X850" s="185" t="str">
        <f t="shared" ref="X850" si="1078">E856</f>
        <v/>
      </c>
      <c r="AD850" s="244"/>
      <c r="AE850" s="355" t="str">
        <f>IF(OR(AM850="",AM850=0,AJ850="",AG850=""),"",
(IF(AND(AF848=$P$4,AM850&lt;=$R$4),$V$4,0)+IF(AND(AF848=$P$5,AM850&lt;=$R$5),$V$5,0)+IF(AND(AF848=$P$6,AM850&lt;=$R$6),$V$6,0)+IF(AND(AF848=$P$7,AM850&lt;=$R$7),$V$7,0))
)</f>
        <v/>
      </c>
      <c r="AF850" s="153" t="s">
        <v>302</v>
      </c>
      <c r="AG850" s="598"/>
      <c r="AH850" s="599"/>
      <c r="AI850" s="600"/>
      <c r="AJ850" s="598"/>
      <c r="AK850" s="599"/>
      <c r="AL850" s="600"/>
      <c r="AM850" s="384"/>
      <c r="AN850" s="256"/>
      <c r="AO850" s="388"/>
      <c r="AP850" s="185">
        <f t="shared" ref="AP850" si="1079">IF(AF848="",0,1)</f>
        <v>0</v>
      </c>
      <c r="AR850" s="185" t="str">
        <f t="shared" ref="AR850" si="1080">AE850</f>
        <v/>
      </c>
      <c r="AS850" s="185" t="str">
        <f t="shared" ref="AS850" si="1081">AE851</f>
        <v/>
      </c>
      <c r="AT850" s="185" t="str">
        <f t="shared" ref="AT850" si="1082">AE852</f>
        <v/>
      </c>
      <c r="AU850" s="185" t="str">
        <f t="shared" ref="AU850" si="1083">AE853</f>
        <v/>
      </c>
      <c r="AV850" s="185" t="str">
        <f t="shared" ref="AV850" si="1084">AE854</f>
        <v/>
      </c>
      <c r="AW850" s="185" t="str">
        <f t="shared" ref="AW850" si="1085">AE855</f>
        <v/>
      </c>
      <c r="AX850" s="185" t="str">
        <f t="shared" ref="AX850" si="1086">AE856</f>
        <v/>
      </c>
    </row>
    <row r="851" spans="4:50" x14ac:dyDescent="0.3">
      <c r="D851" s="244"/>
      <c r="E851" s="341" t="str">
        <f>IF(OR(M851="",M851=0,J851="",G851=""),"",
(IF(AND(F848=$P$4,M851&lt;=$R$4),$V$4,0)+IF(AND(F848=$P$5,M851&lt;=$R$5),$V$5,0)+IF(AND(F848=$P$6,M851&lt;=$R$6),$V$6,0)+IF(AND(F848=$P$7,M851&lt;=$R$7),$V$7,0))
)</f>
        <v/>
      </c>
      <c r="F851" s="153" t="s">
        <v>303</v>
      </c>
      <c r="G851" s="616"/>
      <c r="H851" s="617"/>
      <c r="I851" s="618"/>
      <c r="J851" s="616"/>
      <c r="K851" s="617"/>
      <c r="L851" s="618"/>
      <c r="M851" s="255"/>
      <c r="N851" s="256"/>
      <c r="O851" s="388"/>
      <c r="AD851" s="244"/>
      <c r="AE851" s="341" t="str">
        <f>IF(OR(AM851="",AM851=0,AJ851="",AG851=""),"",
(IF(AND(AF848=$P$4,AM851&lt;=$R$4),$V$4,0)+IF(AND(AF848=$P$5,AM851&lt;=$R$5),$V$5,0)+IF(AND(AF848=$P$6,AM851&lt;=$R$6),$V$6,0)+IF(AND(AF848=$P$7,AM851&lt;=$R$7),$V$7,0))
)</f>
        <v/>
      </c>
      <c r="AF851" s="153" t="s">
        <v>303</v>
      </c>
      <c r="AG851" s="598"/>
      <c r="AH851" s="599"/>
      <c r="AI851" s="600"/>
      <c r="AJ851" s="598"/>
      <c r="AK851" s="599"/>
      <c r="AL851" s="600"/>
      <c r="AM851" s="384"/>
      <c r="AN851" s="256"/>
      <c r="AO851" s="388"/>
    </row>
    <row r="852" spans="4:50" x14ac:dyDescent="0.3">
      <c r="D852" s="244"/>
      <c r="E852" s="341" t="str">
        <f>IF(OR(M852="",M852=0,J852="",G852=""),"",
(IF(AND(F848=$P$4,M852&lt;=$R$4),$V$4,0)+IF(AND(F848=$P$5,M852&lt;=$R$5),$V$5,0)+IF(AND(F848=$P$6,M852&lt;=$R$6),$V$6,0)+IF(AND(F848=$P$7,M852&lt;=$R$7),$V$7,0))
)</f>
        <v/>
      </c>
      <c r="F852" s="153" t="s">
        <v>304</v>
      </c>
      <c r="G852" s="616"/>
      <c r="H852" s="617"/>
      <c r="I852" s="618"/>
      <c r="J852" s="616"/>
      <c r="K852" s="617"/>
      <c r="L852" s="618"/>
      <c r="M852" s="255"/>
      <c r="N852" s="256"/>
      <c r="O852" s="388"/>
      <c r="AD852" s="244"/>
      <c r="AE852" s="341" t="str">
        <f>IF(OR(AM852="",AM852=0,AJ852="",AG852=""),"",
(IF(AND(AF848=$P$4,AM852&lt;=$R$4),$V$4,0)+IF(AND(AF848=$P$5,AM852&lt;=$R$5),$V$5,0)+IF(AND(AF848=$P$6,AM852&lt;=$R$6),$V$6,0)+IF(AND(AF848=$P$7,AM852&lt;=$R$7),$V$7,0))
)</f>
        <v/>
      </c>
      <c r="AF852" s="153" t="s">
        <v>304</v>
      </c>
      <c r="AG852" s="598"/>
      <c r="AH852" s="599"/>
      <c r="AI852" s="600"/>
      <c r="AJ852" s="598"/>
      <c r="AK852" s="599"/>
      <c r="AL852" s="600"/>
      <c r="AM852" s="384"/>
      <c r="AN852" s="256"/>
      <c r="AO852" s="388"/>
    </row>
    <row r="853" spans="4:50" x14ac:dyDescent="0.3">
      <c r="D853" s="244"/>
      <c r="E853" s="341" t="str">
        <f>IF(OR(M853="",M853=0,J853="",G853=""),"",
(IF(AND(F848=$P$4,M853&lt;=$R$4),$V$4,0)+IF(AND(F848=$P$5,M853&lt;=$R$5),$V$5,0)+IF(AND(F848=$P$6,M853&lt;=$R$6),$V$6,0)+IF(AND(F848=$P$7,M853&lt;=$R$7),$V$7,0))
)</f>
        <v/>
      </c>
      <c r="F853" s="153" t="s">
        <v>305</v>
      </c>
      <c r="G853" s="616"/>
      <c r="H853" s="617"/>
      <c r="I853" s="618"/>
      <c r="J853" s="616"/>
      <c r="K853" s="617"/>
      <c r="L853" s="618"/>
      <c r="M853" s="255"/>
      <c r="N853" s="256"/>
      <c r="O853" s="388"/>
      <c r="AD853" s="244"/>
      <c r="AE853" s="341" t="str">
        <f>IF(OR(AM853="",AM853=0,AJ853="",AG853=""),"",
(IF(AND(AF848=$P$4,AM853&lt;=$R$4),$V$4,0)+IF(AND(AF848=$P$5,AM853&lt;=$R$5),$V$5,0)+IF(AND(AF848=$P$6,AM853&lt;=$R$6),$V$6,0)+IF(AND(AF848=$P$7,AM853&lt;=$R$7),$V$7,0))
)</f>
        <v/>
      </c>
      <c r="AF853" s="153" t="s">
        <v>305</v>
      </c>
      <c r="AG853" s="598"/>
      <c r="AH853" s="599"/>
      <c r="AI853" s="600"/>
      <c r="AJ853" s="598"/>
      <c r="AK853" s="599"/>
      <c r="AL853" s="600"/>
      <c r="AM853" s="384"/>
      <c r="AN853" s="256"/>
      <c r="AO853" s="388"/>
    </row>
    <row r="854" spans="4:50" x14ac:dyDescent="0.3">
      <c r="D854" s="244"/>
      <c r="E854" s="341" t="str">
        <f>IF(OR(M854="",M854=0,J854="",G854=""),"",
(IF(AND(F848=$P$4,M854&lt;=$R$4),$V$4,0)+IF(AND(F848=$P$5,M854&lt;=$R$5),$V$5,0)+IF(AND(F848=$P$6,M854&lt;=$R$6),$V$6,0)+IF(AND(F848=$P$7,M854&lt;=$R$7),$V$7,0))
)</f>
        <v/>
      </c>
      <c r="F854" s="153" t="s">
        <v>306</v>
      </c>
      <c r="G854" s="616"/>
      <c r="H854" s="617"/>
      <c r="I854" s="618"/>
      <c r="J854" s="616"/>
      <c r="K854" s="617"/>
      <c r="L854" s="618"/>
      <c r="M854" s="255"/>
      <c r="N854" s="256"/>
      <c r="O854" s="388"/>
      <c r="AD854" s="244"/>
      <c r="AE854" s="341" t="str">
        <f>IF(OR(AM854="",AM854=0,AJ854="",AG854=""),"",
(IF(AND(AF848=$P$4,AM854&lt;=$R$4),$V$4,0)+IF(AND(AF848=$P$5,AM854&lt;=$R$5),$V$5,0)+IF(AND(AF848=$P$6,AM854&lt;=$R$6),$V$6,0)+IF(AND(AF848=$P$7,AM854&lt;=$R$7),$V$7,0))
)</f>
        <v/>
      </c>
      <c r="AF854" s="153" t="s">
        <v>306</v>
      </c>
      <c r="AG854" s="598"/>
      <c r="AH854" s="599"/>
      <c r="AI854" s="600"/>
      <c r="AJ854" s="598"/>
      <c r="AK854" s="599"/>
      <c r="AL854" s="600"/>
      <c r="AM854" s="384"/>
      <c r="AN854" s="256"/>
      <c r="AO854" s="388"/>
    </row>
    <row r="855" spans="4:50" x14ac:dyDescent="0.3">
      <c r="D855" s="244"/>
      <c r="E855" s="341" t="str">
        <f>IF(OR(M855="",M855=0,J855="",G855=""),"",
(IF(AND(F848=$P$4,M855&lt;=$R$4),$V$4,0)+IF(AND(F848=$P$5,M855&lt;=$R$5),$V$5,0)+IF(AND(F848=$P$6,M855&lt;=$R$6),$V$6,0)+IF(AND(F848=$P$7,M855&lt;=$R$7),$V$7,0))
)</f>
        <v/>
      </c>
      <c r="F855" s="153" t="s">
        <v>307</v>
      </c>
      <c r="G855" s="616"/>
      <c r="H855" s="617"/>
      <c r="I855" s="618"/>
      <c r="J855" s="616"/>
      <c r="K855" s="617"/>
      <c r="L855" s="618"/>
      <c r="M855" s="255"/>
      <c r="N855" s="256"/>
      <c r="O855" s="388"/>
      <c r="AD855" s="244"/>
      <c r="AE855" s="341" t="str">
        <f>IF(OR(AM855="",AM855=0,AJ855="",AG855=""),"",
(IF(AND(AF848=$P$4,AM855&lt;=$R$4),$V$4,0)+IF(AND(AF848=$P$5,AM855&lt;=$R$5),$V$5,0)+IF(AND(AF848=$P$6,AM855&lt;=$R$6),$V$6,0)+IF(AND(AF848=$P$7,AM855&lt;=$R$7),$V$7,0))
)</f>
        <v/>
      </c>
      <c r="AF855" s="153" t="s">
        <v>307</v>
      </c>
      <c r="AG855" s="598"/>
      <c r="AH855" s="599"/>
      <c r="AI855" s="600"/>
      <c r="AJ855" s="598"/>
      <c r="AK855" s="599"/>
      <c r="AL855" s="600"/>
      <c r="AM855" s="384"/>
      <c r="AN855" s="256"/>
      <c r="AO855" s="388"/>
    </row>
    <row r="856" spans="4:50" x14ac:dyDescent="0.3">
      <c r="D856" s="244"/>
      <c r="E856" s="341" t="str">
        <f>IF(OR(M856="",M856=0,J856="",G856=""),"",
(IF(AND(F848=$P$4,M856&lt;=$R$4),$V$4,0)+IF(AND(F848=$P$5,M856&lt;=$R$5),$V$5,0)+IF(AND(F848=$P$6,M856&lt;=$R$6),$V$6,0)+IF(AND(F848=$P$7,M856&lt;=$R$7),$V$7,0))
)</f>
        <v/>
      </c>
      <c r="F856" s="153" t="s">
        <v>308</v>
      </c>
      <c r="G856" s="616"/>
      <c r="H856" s="617"/>
      <c r="I856" s="618"/>
      <c r="J856" s="616"/>
      <c r="K856" s="617"/>
      <c r="L856" s="618"/>
      <c r="M856" s="255"/>
      <c r="N856" s="256"/>
      <c r="O856" s="388"/>
      <c r="AD856" s="244"/>
      <c r="AE856" s="341" t="str">
        <f>IF(OR(AM856="",AM856=0,AJ856="",AG856=""),"",
(IF(AND(AF848=$P$4,AM856&lt;=$R$4),$V$4,0)+IF(AND(AF848=$P$5,AM856&lt;=$R$5),$V$5,0)+IF(AND(AF848=$P$6,AM856&lt;=$R$6),$V$6,0)+IF(AND(AF848=$P$7,AM856&lt;=$R$7),$V$7,0))
)</f>
        <v/>
      </c>
      <c r="AF856" s="153" t="s">
        <v>308</v>
      </c>
      <c r="AG856" s="598"/>
      <c r="AH856" s="599"/>
      <c r="AI856" s="600"/>
      <c r="AJ856" s="598"/>
      <c r="AK856" s="599"/>
      <c r="AL856" s="600"/>
      <c r="AM856" s="384"/>
      <c r="AN856" s="256"/>
      <c r="AO856" s="388"/>
    </row>
    <row r="857" spans="4:50" ht="16.2" thickBot="1" x14ac:dyDescent="0.35">
      <c r="D857" s="203"/>
      <c r="E857" s="3"/>
      <c r="F857" s="3"/>
      <c r="G857" s="3"/>
      <c r="H857" s="3"/>
      <c r="I857" s="3"/>
      <c r="J857" s="3"/>
      <c r="K857" s="3"/>
      <c r="L857" s="3"/>
      <c r="M857" s="3"/>
      <c r="N857" s="204"/>
      <c r="P857" s="2"/>
      <c r="AD857" s="203"/>
      <c r="AE857" s="3"/>
      <c r="AF857" s="3"/>
      <c r="AG857" s="3"/>
      <c r="AH857" s="3"/>
      <c r="AI857" s="3"/>
      <c r="AJ857" s="3"/>
      <c r="AK857" s="3"/>
      <c r="AL857" s="3"/>
      <c r="AM857" s="3"/>
      <c r="AN857" s="204"/>
      <c r="AP857" s="2"/>
    </row>
    <row r="858" spans="4:50" x14ac:dyDescent="0.3">
      <c r="D858" s="601" t="str">
        <f>IF(
OR(
OR(F860=$P$4,F860=$P$5,F860=$P$6,F860=$P$7),AND(G862="",G863="",G864="",G865="",G866="",G867="",G868="",J862="",J863="",J864="",J865="",J866="",J867="",J868="",M862="",M863="",M864="",M865="",M866="",M867="",M868="",K859="",K860="")
),
"",
"A Set-Aside must be selected."
)</f>
        <v/>
      </c>
      <c r="E858" s="602"/>
      <c r="F858" s="602"/>
      <c r="G858" s="602"/>
      <c r="H858" s="602"/>
      <c r="I858" s="602"/>
      <c r="J858" s="602"/>
      <c r="K858" s="602"/>
      <c r="L858" s="602"/>
      <c r="M858" s="602"/>
      <c r="N858" s="603"/>
      <c r="O858" s="2"/>
      <c r="AD858" s="601" t="str">
        <f>IF(
OR(
OR(AF860=$P$4,AF860=$P$5,AF860=$P$6,AF860=$P$7),AND(AG862="",AG863="",AG864="",AG865="",AG866="",AG867="",AG868="",AJ862="",AJ863="",AJ864="",AJ865="",AJ866="",AJ867="",AJ868="",AM862="",AM863="",AM864="",AM865="",AM866="",AM867="",AM868="",AK859="",AK860="")
),
"",
"A Set-Aside must be selected."
)</f>
        <v/>
      </c>
      <c r="AE858" s="602"/>
      <c r="AF858" s="602"/>
      <c r="AG858" s="602"/>
      <c r="AH858" s="602"/>
      <c r="AI858" s="602"/>
      <c r="AJ858" s="602"/>
      <c r="AK858" s="602"/>
      <c r="AL858" s="602"/>
      <c r="AM858" s="602"/>
      <c r="AN858" s="603"/>
      <c r="AO858" s="2"/>
    </row>
    <row r="859" spans="4:50" ht="15.75" customHeight="1" x14ac:dyDescent="0.3">
      <c r="D859" s="199"/>
      <c r="E859" s="9" t="s">
        <v>30</v>
      </c>
      <c r="F859" s="86">
        <f>F847+1</f>
        <v>69</v>
      </c>
      <c r="G859" s="9" t="s">
        <v>175</v>
      </c>
      <c r="H859" s="9"/>
      <c r="I859" s="9"/>
      <c r="J859" s="168" t="s">
        <v>111</v>
      </c>
      <c r="K859" s="148"/>
      <c r="N859" s="200"/>
      <c r="R859" s="596" t="s">
        <v>302</v>
      </c>
      <c r="S859" s="596" t="s">
        <v>303</v>
      </c>
      <c r="T859" s="596" t="s">
        <v>304</v>
      </c>
      <c r="U859" s="596" t="s">
        <v>305</v>
      </c>
      <c r="V859" s="596" t="s">
        <v>306</v>
      </c>
      <c r="W859" s="596" t="s">
        <v>307</v>
      </c>
      <c r="X859" s="596" t="s">
        <v>308</v>
      </c>
      <c r="AD859" s="199"/>
      <c r="AE859" s="9" t="s">
        <v>30</v>
      </c>
      <c r="AF859" s="86">
        <f>AF847+1</f>
        <v>69</v>
      </c>
      <c r="AG859" s="9" t="s">
        <v>175</v>
      </c>
      <c r="AH859" s="9"/>
      <c r="AI859" s="9"/>
      <c r="AJ859" s="168" t="s">
        <v>111</v>
      </c>
      <c r="AK859" s="382"/>
      <c r="AN859" s="200"/>
      <c r="AR859" s="596" t="s">
        <v>302</v>
      </c>
      <c r="AS859" s="596" t="s">
        <v>303</v>
      </c>
      <c r="AT859" s="596" t="s">
        <v>304</v>
      </c>
      <c r="AU859" s="596" t="s">
        <v>305</v>
      </c>
      <c r="AV859" s="596" t="s">
        <v>306</v>
      </c>
      <c r="AW859" s="596" t="s">
        <v>307</v>
      </c>
      <c r="AX859" s="596" t="s">
        <v>308</v>
      </c>
    </row>
    <row r="860" spans="4:50" x14ac:dyDescent="0.3">
      <c r="D860" s="604" t="s">
        <v>31</v>
      </c>
      <c r="E860" s="594"/>
      <c r="F860" s="151"/>
      <c r="G860" s="86" t="str">
        <f>IF(F860=$P$4,$Q$4,IF(F860=$P$5,$Q$5,IF(F860=$P$6,$Q$6,IF(F860=$P$7,Q$7,IF(F860=$P$8,"","")))))</f>
        <v/>
      </c>
      <c r="H860" s="201"/>
      <c r="I860" s="201"/>
      <c r="J860" s="168" t="s">
        <v>112</v>
      </c>
      <c r="K860" s="148"/>
      <c r="N860" s="200"/>
      <c r="R860" s="596"/>
      <c r="S860" s="596"/>
      <c r="T860" s="596"/>
      <c r="U860" s="596"/>
      <c r="V860" s="596"/>
      <c r="W860" s="596"/>
      <c r="X860" s="596"/>
      <c r="AD860" s="604" t="s">
        <v>31</v>
      </c>
      <c r="AE860" s="594"/>
      <c r="AF860" s="383"/>
      <c r="AG860" s="86" t="str">
        <f>IF(AF860=$P$4,$Q$4,IF(AF860=$P$5,$Q$5,IF(AF860=$P$6,$Q$6,IF(AF860=$P$7,AQ$7,IF(AF860=$P$8,"","")))))</f>
        <v/>
      </c>
      <c r="AH860" s="201"/>
      <c r="AI860" s="201"/>
      <c r="AJ860" s="168" t="s">
        <v>112</v>
      </c>
      <c r="AK860" s="382"/>
      <c r="AN860" s="200"/>
      <c r="AR860" s="596"/>
      <c r="AS860" s="596"/>
      <c r="AT860" s="596"/>
      <c r="AU860" s="596"/>
      <c r="AV860" s="596"/>
      <c r="AW860" s="596"/>
      <c r="AX860" s="596"/>
    </row>
    <row r="861" spans="4:50" x14ac:dyDescent="0.3">
      <c r="D861" s="244"/>
      <c r="E861" s="230" t="s">
        <v>52</v>
      </c>
      <c r="F861" s="9" t="s">
        <v>32</v>
      </c>
      <c r="G861" s="9" t="s">
        <v>33</v>
      </c>
      <c r="H861" s="9"/>
      <c r="I861" s="9"/>
      <c r="J861" s="9" t="s">
        <v>34</v>
      </c>
      <c r="K861" s="9"/>
      <c r="L861" s="9"/>
      <c r="M861" s="257" t="s">
        <v>35</v>
      </c>
      <c r="N861" s="202"/>
      <c r="O861" s="9"/>
      <c r="P861" s="198" t="s">
        <v>22</v>
      </c>
      <c r="Q861" s="198"/>
      <c r="R861" s="596"/>
      <c r="S861" s="596"/>
      <c r="T861" s="596"/>
      <c r="U861" s="596"/>
      <c r="V861" s="596"/>
      <c r="W861" s="596"/>
      <c r="X861" s="596"/>
      <c r="AD861" s="244"/>
      <c r="AE861" s="230" t="s">
        <v>52</v>
      </c>
      <c r="AF861" s="9" t="s">
        <v>32</v>
      </c>
      <c r="AG861" s="9" t="s">
        <v>33</v>
      </c>
      <c r="AH861" s="9"/>
      <c r="AI861" s="9"/>
      <c r="AJ861" s="9" t="s">
        <v>34</v>
      </c>
      <c r="AK861" s="9"/>
      <c r="AL861" s="9"/>
      <c r="AM861" s="257" t="s">
        <v>35</v>
      </c>
      <c r="AN861" s="202"/>
      <c r="AO861" s="9"/>
      <c r="AP861" s="198" t="s">
        <v>22</v>
      </c>
      <c r="AQ861" s="198"/>
      <c r="AR861" s="596"/>
      <c r="AS861" s="596"/>
      <c r="AT861" s="596"/>
      <c r="AU861" s="596"/>
      <c r="AV861" s="596"/>
      <c r="AW861" s="596"/>
      <c r="AX861" s="596"/>
    </row>
    <row r="862" spans="4:50" x14ac:dyDescent="0.3">
      <c r="D862" s="244"/>
      <c r="E862" s="355" t="str">
        <f>IF(OR(M862="",M862=0,J862="",G862=""),"",
(IF(AND(F860=$P$4,M862&lt;=$R$4),$V$4,0)+IF(AND(F860=$P$5,M862&lt;=$R$5),$V$5,0)+IF(AND(F860=$P$6,M862&lt;=$R$6),$V$6,0)+IF(AND(F860=$P$7,M862&lt;=$R$7),$V$7,0))
)</f>
        <v/>
      </c>
      <c r="F862" s="153" t="s">
        <v>302</v>
      </c>
      <c r="G862" s="616"/>
      <c r="H862" s="617"/>
      <c r="I862" s="618"/>
      <c r="J862" s="616"/>
      <c r="K862" s="617"/>
      <c r="L862" s="618"/>
      <c r="M862" s="255"/>
      <c r="N862" s="256"/>
      <c r="O862" s="388"/>
      <c r="P862" s="185">
        <f t="shared" ref="P862" si="1087">IF(F860="",0,1)</f>
        <v>0</v>
      </c>
      <c r="R862" s="185" t="str">
        <f t="shared" ref="R862" si="1088">E862</f>
        <v/>
      </c>
      <c r="S862" s="185" t="str">
        <f t="shared" ref="S862" si="1089">E863</f>
        <v/>
      </c>
      <c r="T862" s="185" t="str">
        <f t="shared" ref="T862" si="1090">E864</f>
        <v/>
      </c>
      <c r="U862" s="185" t="str">
        <f t="shared" ref="U862" si="1091">E865</f>
        <v/>
      </c>
      <c r="V862" s="185" t="str">
        <f t="shared" ref="V862" si="1092">E866</f>
        <v/>
      </c>
      <c r="W862" s="185" t="str">
        <f t="shared" ref="W862" si="1093">E867</f>
        <v/>
      </c>
      <c r="X862" s="185" t="str">
        <f t="shared" ref="X862" si="1094">E868</f>
        <v/>
      </c>
      <c r="AD862" s="244"/>
      <c r="AE862" s="355" t="str">
        <f>IF(OR(AM862="",AM862=0,AJ862="",AG862=""),"",
(IF(AND(AF860=$P$4,AM862&lt;=$R$4),$V$4,0)+IF(AND(AF860=$P$5,AM862&lt;=$R$5),$V$5,0)+IF(AND(AF860=$P$6,AM862&lt;=$R$6),$V$6,0)+IF(AND(AF860=$P$7,AM862&lt;=$R$7),$V$7,0))
)</f>
        <v/>
      </c>
      <c r="AF862" s="153" t="s">
        <v>302</v>
      </c>
      <c r="AG862" s="598"/>
      <c r="AH862" s="599"/>
      <c r="AI862" s="600"/>
      <c r="AJ862" s="598"/>
      <c r="AK862" s="599"/>
      <c r="AL862" s="600"/>
      <c r="AM862" s="384"/>
      <c r="AN862" s="256"/>
      <c r="AO862" s="388"/>
      <c r="AP862" s="185">
        <f t="shared" ref="AP862" si="1095">IF(AF860="",0,1)</f>
        <v>0</v>
      </c>
      <c r="AR862" s="185" t="str">
        <f t="shared" ref="AR862" si="1096">AE862</f>
        <v/>
      </c>
      <c r="AS862" s="185" t="str">
        <f t="shared" ref="AS862" si="1097">AE863</f>
        <v/>
      </c>
      <c r="AT862" s="185" t="str">
        <f t="shared" ref="AT862" si="1098">AE864</f>
        <v/>
      </c>
      <c r="AU862" s="185" t="str">
        <f t="shared" ref="AU862" si="1099">AE865</f>
        <v/>
      </c>
      <c r="AV862" s="185" t="str">
        <f t="shared" ref="AV862" si="1100">AE866</f>
        <v/>
      </c>
      <c r="AW862" s="185" t="str">
        <f t="shared" ref="AW862" si="1101">AE867</f>
        <v/>
      </c>
      <c r="AX862" s="185" t="str">
        <f t="shared" ref="AX862" si="1102">AE868</f>
        <v/>
      </c>
    </row>
    <row r="863" spans="4:50" x14ac:dyDescent="0.3">
      <c r="D863" s="244"/>
      <c r="E863" s="341" t="str">
        <f>IF(OR(M863="",M863=0,J863="",G863=""),"",
(IF(AND(F860=$P$4,M863&lt;=$R$4),$V$4,0)+IF(AND(F860=$P$5,M863&lt;=$R$5),$V$5,0)+IF(AND(F860=$P$6,M863&lt;=$R$6),$V$6,0)+IF(AND(F860=$P$7,M863&lt;=$R$7),$V$7,0))
)</f>
        <v/>
      </c>
      <c r="F863" s="153" t="s">
        <v>303</v>
      </c>
      <c r="G863" s="616"/>
      <c r="H863" s="617"/>
      <c r="I863" s="618"/>
      <c r="J863" s="616"/>
      <c r="K863" s="617"/>
      <c r="L863" s="618"/>
      <c r="M863" s="255"/>
      <c r="N863" s="256"/>
      <c r="O863" s="388"/>
      <c r="AD863" s="244"/>
      <c r="AE863" s="341" t="str">
        <f>IF(OR(AM863="",AM863=0,AJ863="",AG863=""),"",
(IF(AND(AF860=$P$4,AM863&lt;=$R$4),$V$4,0)+IF(AND(AF860=$P$5,AM863&lt;=$R$5),$V$5,0)+IF(AND(AF860=$P$6,AM863&lt;=$R$6),$V$6,0)+IF(AND(AF860=$P$7,AM863&lt;=$R$7),$V$7,0))
)</f>
        <v/>
      </c>
      <c r="AF863" s="153" t="s">
        <v>303</v>
      </c>
      <c r="AG863" s="598"/>
      <c r="AH863" s="599"/>
      <c r="AI863" s="600"/>
      <c r="AJ863" s="598"/>
      <c r="AK863" s="599"/>
      <c r="AL863" s="600"/>
      <c r="AM863" s="384"/>
      <c r="AN863" s="256"/>
      <c r="AO863" s="388"/>
    </row>
    <row r="864" spans="4:50" x14ac:dyDescent="0.3">
      <c r="D864" s="244"/>
      <c r="E864" s="341" t="str">
        <f>IF(OR(M864="",M864=0,J864="",G864=""),"",
(IF(AND(F860=$P$4,M864&lt;=$R$4),$V$4,0)+IF(AND(F860=$P$5,M864&lt;=$R$5),$V$5,0)+IF(AND(F860=$P$6,M864&lt;=$R$6),$V$6,0)+IF(AND(F860=$P$7,M864&lt;=$R$7),$V$7,0))
)</f>
        <v/>
      </c>
      <c r="F864" s="153" t="s">
        <v>304</v>
      </c>
      <c r="G864" s="616"/>
      <c r="H864" s="617"/>
      <c r="I864" s="618"/>
      <c r="J864" s="616"/>
      <c r="K864" s="617"/>
      <c r="L864" s="618"/>
      <c r="M864" s="255"/>
      <c r="N864" s="256"/>
      <c r="O864" s="388"/>
      <c r="AD864" s="244"/>
      <c r="AE864" s="341" t="str">
        <f>IF(OR(AM864="",AM864=0,AJ864="",AG864=""),"",
(IF(AND(AF860=$P$4,AM864&lt;=$R$4),$V$4,0)+IF(AND(AF860=$P$5,AM864&lt;=$R$5),$V$5,0)+IF(AND(AF860=$P$6,AM864&lt;=$R$6),$V$6,0)+IF(AND(AF860=$P$7,AM864&lt;=$R$7),$V$7,0))
)</f>
        <v/>
      </c>
      <c r="AF864" s="153" t="s">
        <v>304</v>
      </c>
      <c r="AG864" s="598"/>
      <c r="AH864" s="599"/>
      <c r="AI864" s="600"/>
      <c r="AJ864" s="598"/>
      <c r="AK864" s="599"/>
      <c r="AL864" s="600"/>
      <c r="AM864" s="384"/>
      <c r="AN864" s="256"/>
      <c r="AO864" s="388"/>
    </row>
    <row r="865" spans="4:50" x14ac:dyDescent="0.3">
      <c r="D865" s="244"/>
      <c r="E865" s="341" t="str">
        <f>IF(OR(M865="",M865=0,J865="",G865=""),"",
(IF(AND(F860=$P$4,M865&lt;=$R$4),$V$4,0)+IF(AND(F860=$P$5,M865&lt;=$R$5),$V$5,0)+IF(AND(F860=$P$6,M865&lt;=$R$6),$V$6,0)+IF(AND(F860=$P$7,M865&lt;=$R$7),$V$7,0))
)</f>
        <v/>
      </c>
      <c r="F865" s="153" t="s">
        <v>305</v>
      </c>
      <c r="G865" s="616"/>
      <c r="H865" s="617"/>
      <c r="I865" s="618"/>
      <c r="J865" s="616"/>
      <c r="K865" s="617"/>
      <c r="L865" s="618"/>
      <c r="M865" s="255"/>
      <c r="N865" s="256"/>
      <c r="O865" s="388"/>
      <c r="AD865" s="244"/>
      <c r="AE865" s="341" t="str">
        <f>IF(OR(AM865="",AM865=0,AJ865="",AG865=""),"",
(IF(AND(AF860=$P$4,AM865&lt;=$R$4),$V$4,0)+IF(AND(AF860=$P$5,AM865&lt;=$R$5),$V$5,0)+IF(AND(AF860=$P$6,AM865&lt;=$R$6),$V$6,0)+IF(AND(AF860=$P$7,AM865&lt;=$R$7),$V$7,0))
)</f>
        <v/>
      </c>
      <c r="AF865" s="153" t="s">
        <v>305</v>
      </c>
      <c r="AG865" s="598"/>
      <c r="AH865" s="599"/>
      <c r="AI865" s="600"/>
      <c r="AJ865" s="598"/>
      <c r="AK865" s="599"/>
      <c r="AL865" s="600"/>
      <c r="AM865" s="384"/>
      <c r="AN865" s="256"/>
      <c r="AO865" s="388"/>
    </row>
    <row r="866" spans="4:50" x14ac:dyDescent="0.3">
      <c r="D866" s="244"/>
      <c r="E866" s="341" t="str">
        <f>IF(OR(M866="",M866=0,J866="",G866=""),"",
(IF(AND(F860=$P$4,M866&lt;=$R$4),$V$4,0)+IF(AND(F860=$P$5,M866&lt;=$R$5),$V$5,0)+IF(AND(F860=$P$6,M866&lt;=$R$6),$V$6,0)+IF(AND(F860=$P$7,M866&lt;=$R$7),$V$7,0))
)</f>
        <v/>
      </c>
      <c r="F866" s="153" t="s">
        <v>306</v>
      </c>
      <c r="G866" s="616"/>
      <c r="H866" s="617"/>
      <c r="I866" s="618"/>
      <c r="J866" s="616"/>
      <c r="K866" s="617"/>
      <c r="L866" s="618"/>
      <c r="M866" s="255"/>
      <c r="N866" s="256"/>
      <c r="O866" s="388"/>
      <c r="AD866" s="244"/>
      <c r="AE866" s="341" t="str">
        <f>IF(OR(AM866="",AM866=0,AJ866="",AG866=""),"",
(IF(AND(AF860=$P$4,AM866&lt;=$R$4),$V$4,0)+IF(AND(AF860=$P$5,AM866&lt;=$R$5),$V$5,0)+IF(AND(AF860=$P$6,AM866&lt;=$R$6),$V$6,0)+IF(AND(AF860=$P$7,AM866&lt;=$R$7),$V$7,0))
)</f>
        <v/>
      </c>
      <c r="AF866" s="153" t="s">
        <v>306</v>
      </c>
      <c r="AG866" s="598"/>
      <c r="AH866" s="599"/>
      <c r="AI866" s="600"/>
      <c r="AJ866" s="598"/>
      <c r="AK866" s="599"/>
      <c r="AL866" s="600"/>
      <c r="AM866" s="384"/>
      <c r="AN866" s="256"/>
      <c r="AO866" s="388"/>
    </row>
    <row r="867" spans="4:50" x14ac:dyDescent="0.3">
      <c r="D867" s="244"/>
      <c r="E867" s="341" t="str">
        <f>IF(OR(M867="",M867=0,J867="",G867=""),"",
(IF(AND(F860=$P$4,M867&lt;=$R$4),$V$4,0)+IF(AND(F860=$P$5,M867&lt;=$R$5),$V$5,0)+IF(AND(F860=$P$6,M867&lt;=$R$6),$V$6,0)+IF(AND(F860=$P$7,M867&lt;=$R$7),$V$7,0))
)</f>
        <v/>
      </c>
      <c r="F867" s="153" t="s">
        <v>307</v>
      </c>
      <c r="G867" s="616"/>
      <c r="H867" s="617"/>
      <c r="I867" s="618"/>
      <c r="J867" s="616"/>
      <c r="K867" s="617"/>
      <c r="L867" s="618"/>
      <c r="M867" s="255"/>
      <c r="N867" s="256"/>
      <c r="O867" s="388"/>
      <c r="AD867" s="244"/>
      <c r="AE867" s="341" t="str">
        <f>IF(OR(AM867="",AM867=0,AJ867="",AG867=""),"",
(IF(AND(AF860=$P$4,AM867&lt;=$R$4),$V$4,0)+IF(AND(AF860=$P$5,AM867&lt;=$R$5),$V$5,0)+IF(AND(AF860=$P$6,AM867&lt;=$R$6),$V$6,0)+IF(AND(AF860=$P$7,AM867&lt;=$R$7),$V$7,0))
)</f>
        <v/>
      </c>
      <c r="AF867" s="153" t="s">
        <v>307</v>
      </c>
      <c r="AG867" s="598"/>
      <c r="AH867" s="599"/>
      <c r="AI867" s="600"/>
      <c r="AJ867" s="598"/>
      <c r="AK867" s="599"/>
      <c r="AL867" s="600"/>
      <c r="AM867" s="384"/>
      <c r="AN867" s="256"/>
      <c r="AO867" s="388"/>
    </row>
    <row r="868" spans="4:50" x14ac:dyDescent="0.3">
      <c r="D868" s="244"/>
      <c r="E868" s="341" t="str">
        <f>IF(OR(M868="",M868=0,J868="",G868=""),"",
(IF(AND(F860=$P$4,M868&lt;=$R$4),$V$4,0)+IF(AND(F860=$P$5,M868&lt;=$R$5),$V$5,0)+IF(AND(F860=$P$6,M868&lt;=$R$6),$V$6,0)+IF(AND(F860=$P$7,M868&lt;=$R$7),$V$7,0))
)</f>
        <v/>
      </c>
      <c r="F868" s="153" t="s">
        <v>308</v>
      </c>
      <c r="G868" s="616"/>
      <c r="H868" s="617"/>
      <c r="I868" s="618"/>
      <c r="J868" s="616"/>
      <c r="K868" s="617"/>
      <c r="L868" s="618"/>
      <c r="M868" s="255"/>
      <c r="N868" s="256"/>
      <c r="O868" s="388"/>
      <c r="AD868" s="244"/>
      <c r="AE868" s="341" t="str">
        <f>IF(OR(AM868="",AM868=0,AJ868="",AG868=""),"",
(IF(AND(AF860=$P$4,AM868&lt;=$R$4),$V$4,0)+IF(AND(AF860=$P$5,AM868&lt;=$R$5),$V$5,0)+IF(AND(AF860=$P$6,AM868&lt;=$R$6),$V$6,0)+IF(AND(AF860=$P$7,AM868&lt;=$R$7),$V$7,0))
)</f>
        <v/>
      </c>
      <c r="AF868" s="153" t="s">
        <v>308</v>
      </c>
      <c r="AG868" s="598"/>
      <c r="AH868" s="599"/>
      <c r="AI868" s="600"/>
      <c r="AJ868" s="598"/>
      <c r="AK868" s="599"/>
      <c r="AL868" s="600"/>
      <c r="AM868" s="384"/>
      <c r="AN868" s="256"/>
      <c r="AO868" s="388"/>
    </row>
    <row r="869" spans="4:50" ht="16.2" thickBot="1" x14ac:dyDescent="0.35">
      <c r="D869" s="203"/>
      <c r="E869" s="3"/>
      <c r="F869" s="3"/>
      <c r="G869" s="3"/>
      <c r="H869" s="3"/>
      <c r="I869" s="3"/>
      <c r="J869" s="3"/>
      <c r="K869" s="3"/>
      <c r="L869" s="3"/>
      <c r="M869" s="3"/>
      <c r="N869" s="204"/>
      <c r="P869" s="2"/>
      <c r="AD869" s="203"/>
      <c r="AE869" s="3"/>
      <c r="AF869" s="3"/>
      <c r="AG869" s="3"/>
      <c r="AH869" s="3"/>
      <c r="AI869" s="3"/>
      <c r="AJ869" s="3"/>
      <c r="AK869" s="3"/>
      <c r="AL869" s="3"/>
      <c r="AM869" s="3"/>
      <c r="AN869" s="204"/>
      <c r="AP869" s="2"/>
    </row>
    <row r="870" spans="4:50" x14ac:dyDescent="0.3">
      <c r="D870" s="601" t="str">
        <f>IF(
OR(
OR(F872=$P$4,F872=$P$5,F872=$P$6,F872=$P$7),AND(G874="",G875="",G876="",G877="",G878="",G879="",G880="",J874="",J875="",J876="",J877="",J878="",J879="",J880="",M874="",M875="",M876="",M877="",M878="",M879="",M880="",K871="",K872="")
),
"",
"A Set-Aside must be selected."
)</f>
        <v/>
      </c>
      <c r="E870" s="602"/>
      <c r="F870" s="602"/>
      <c r="G870" s="602"/>
      <c r="H870" s="602"/>
      <c r="I870" s="602"/>
      <c r="J870" s="602"/>
      <c r="K870" s="602"/>
      <c r="L870" s="602"/>
      <c r="M870" s="602"/>
      <c r="N870" s="603"/>
      <c r="O870" s="2"/>
      <c r="AD870" s="601" t="str">
        <f>IF(
OR(
OR(AF872=$P$4,AF872=$P$5,AF872=$P$6,AF872=$P$7),AND(AG874="",AG875="",AG876="",AG877="",AG878="",AG879="",AG880="",AJ874="",AJ875="",AJ876="",AJ877="",AJ878="",AJ879="",AJ880="",AM874="",AM875="",AM876="",AM877="",AM878="",AM879="",AM880="",AK871="",AK872="")
),
"",
"A Set-Aside must be selected."
)</f>
        <v/>
      </c>
      <c r="AE870" s="602"/>
      <c r="AF870" s="602"/>
      <c r="AG870" s="602"/>
      <c r="AH870" s="602"/>
      <c r="AI870" s="602"/>
      <c r="AJ870" s="602"/>
      <c r="AK870" s="602"/>
      <c r="AL870" s="602"/>
      <c r="AM870" s="602"/>
      <c r="AN870" s="603"/>
      <c r="AO870" s="2"/>
    </row>
    <row r="871" spans="4:50" ht="15.75" customHeight="1" x14ac:dyDescent="0.3">
      <c r="D871" s="199"/>
      <c r="E871" s="9" t="s">
        <v>30</v>
      </c>
      <c r="F871" s="86">
        <f>F859+1</f>
        <v>70</v>
      </c>
      <c r="G871" s="9" t="s">
        <v>175</v>
      </c>
      <c r="H871" s="9"/>
      <c r="I871" s="9"/>
      <c r="J871" s="168" t="s">
        <v>111</v>
      </c>
      <c r="K871" s="148"/>
      <c r="N871" s="200"/>
      <c r="R871" s="596" t="s">
        <v>302</v>
      </c>
      <c r="S871" s="596" t="s">
        <v>303</v>
      </c>
      <c r="T871" s="596" t="s">
        <v>304</v>
      </c>
      <c r="U871" s="596" t="s">
        <v>305</v>
      </c>
      <c r="V871" s="596" t="s">
        <v>306</v>
      </c>
      <c r="W871" s="596" t="s">
        <v>307</v>
      </c>
      <c r="X871" s="596" t="s">
        <v>308</v>
      </c>
      <c r="AD871" s="199"/>
      <c r="AE871" s="9" t="s">
        <v>30</v>
      </c>
      <c r="AF871" s="86">
        <f>AF859+1</f>
        <v>70</v>
      </c>
      <c r="AG871" s="9" t="s">
        <v>175</v>
      </c>
      <c r="AH871" s="9"/>
      <c r="AI871" s="9"/>
      <c r="AJ871" s="168" t="s">
        <v>111</v>
      </c>
      <c r="AK871" s="382"/>
      <c r="AN871" s="200"/>
      <c r="AR871" s="596" t="s">
        <v>302</v>
      </c>
      <c r="AS871" s="596" t="s">
        <v>303</v>
      </c>
      <c r="AT871" s="596" t="s">
        <v>304</v>
      </c>
      <c r="AU871" s="596" t="s">
        <v>305</v>
      </c>
      <c r="AV871" s="596" t="s">
        <v>306</v>
      </c>
      <c r="AW871" s="596" t="s">
        <v>307</v>
      </c>
      <c r="AX871" s="596" t="s">
        <v>308</v>
      </c>
    </row>
    <row r="872" spans="4:50" x14ac:dyDescent="0.3">
      <c r="D872" s="604" t="s">
        <v>31</v>
      </c>
      <c r="E872" s="594"/>
      <c r="F872" s="151"/>
      <c r="G872" s="86" t="str">
        <f>IF(F872=$P$4,$Q$4,IF(F872=$P$5,$Q$5,IF(F872=$P$6,$Q$6,IF(F872=$P$7,Q$7,IF(F872=$P$8,"","")))))</f>
        <v/>
      </c>
      <c r="H872" s="201"/>
      <c r="I872" s="201"/>
      <c r="J872" s="168" t="s">
        <v>112</v>
      </c>
      <c r="K872" s="148"/>
      <c r="N872" s="200"/>
      <c r="R872" s="596"/>
      <c r="S872" s="596"/>
      <c r="T872" s="596"/>
      <c r="U872" s="596"/>
      <c r="V872" s="596"/>
      <c r="W872" s="596"/>
      <c r="X872" s="596"/>
      <c r="AD872" s="604" t="s">
        <v>31</v>
      </c>
      <c r="AE872" s="594"/>
      <c r="AF872" s="383"/>
      <c r="AG872" s="86" t="str">
        <f>IF(AF872=$P$4,$Q$4,IF(AF872=$P$5,$Q$5,IF(AF872=$P$6,$Q$6,IF(AF872=$P$7,AQ$7,IF(AF872=$P$8,"","")))))</f>
        <v/>
      </c>
      <c r="AH872" s="201"/>
      <c r="AI872" s="201"/>
      <c r="AJ872" s="168" t="s">
        <v>112</v>
      </c>
      <c r="AK872" s="382"/>
      <c r="AN872" s="200"/>
      <c r="AR872" s="596"/>
      <c r="AS872" s="596"/>
      <c r="AT872" s="596"/>
      <c r="AU872" s="596"/>
      <c r="AV872" s="596"/>
      <c r="AW872" s="596"/>
      <c r="AX872" s="596"/>
    </row>
    <row r="873" spans="4:50" x14ac:dyDescent="0.3">
      <c r="D873" s="244"/>
      <c r="E873" s="230" t="s">
        <v>52</v>
      </c>
      <c r="F873" s="9" t="s">
        <v>32</v>
      </c>
      <c r="G873" s="9" t="s">
        <v>33</v>
      </c>
      <c r="H873" s="9"/>
      <c r="I873" s="9"/>
      <c r="J873" s="9" t="s">
        <v>34</v>
      </c>
      <c r="K873" s="9"/>
      <c r="L873" s="9"/>
      <c r="M873" s="257" t="s">
        <v>35</v>
      </c>
      <c r="N873" s="202"/>
      <c r="O873" s="9"/>
      <c r="P873" s="198" t="s">
        <v>22</v>
      </c>
      <c r="Q873" s="198"/>
      <c r="R873" s="596"/>
      <c r="S873" s="596"/>
      <c r="T873" s="596"/>
      <c r="U873" s="596"/>
      <c r="V873" s="596"/>
      <c r="W873" s="596"/>
      <c r="X873" s="596"/>
      <c r="AD873" s="244"/>
      <c r="AE873" s="230" t="s">
        <v>52</v>
      </c>
      <c r="AF873" s="9" t="s">
        <v>32</v>
      </c>
      <c r="AG873" s="9" t="s">
        <v>33</v>
      </c>
      <c r="AH873" s="9"/>
      <c r="AI873" s="9"/>
      <c r="AJ873" s="9" t="s">
        <v>34</v>
      </c>
      <c r="AK873" s="9"/>
      <c r="AL873" s="9"/>
      <c r="AM873" s="257" t="s">
        <v>35</v>
      </c>
      <c r="AN873" s="202"/>
      <c r="AO873" s="9"/>
      <c r="AP873" s="198" t="s">
        <v>22</v>
      </c>
      <c r="AQ873" s="198"/>
      <c r="AR873" s="596"/>
      <c r="AS873" s="596"/>
      <c r="AT873" s="596"/>
      <c r="AU873" s="596"/>
      <c r="AV873" s="596"/>
      <c r="AW873" s="596"/>
      <c r="AX873" s="596"/>
    </row>
    <row r="874" spans="4:50" x14ac:dyDescent="0.3">
      <c r="D874" s="244"/>
      <c r="E874" s="355" t="str">
        <f>IF(OR(M874="",M874=0,J874="",G874=""),"",
(IF(AND(F872=$P$4,M874&lt;=$R$4),$V$4,0)+IF(AND(F872=$P$5,M874&lt;=$R$5),$V$5,0)+IF(AND(F872=$P$6,M874&lt;=$R$6),$V$6,0)+IF(AND(F872=$P$7,M874&lt;=$R$7),$V$7,0))
)</f>
        <v/>
      </c>
      <c r="F874" s="153" t="s">
        <v>302</v>
      </c>
      <c r="G874" s="616"/>
      <c r="H874" s="617"/>
      <c r="I874" s="618"/>
      <c r="J874" s="616"/>
      <c r="K874" s="617"/>
      <c r="L874" s="618"/>
      <c r="M874" s="255"/>
      <c r="N874" s="256"/>
      <c r="O874" s="388"/>
      <c r="P874" s="185">
        <f t="shared" ref="P874" si="1103">IF(F872="",0,1)</f>
        <v>0</v>
      </c>
      <c r="R874" s="185" t="str">
        <f t="shared" ref="R874" si="1104">E874</f>
        <v/>
      </c>
      <c r="S874" s="185" t="str">
        <f t="shared" ref="S874" si="1105">E875</f>
        <v/>
      </c>
      <c r="T874" s="185" t="str">
        <f t="shared" ref="T874" si="1106">E876</f>
        <v/>
      </c>
      <c r="U874" s="185" t="str">
        <f t="shared" ref="U874" si="1107">E877</f>
        <v/>
      </c>
      <c r="V874" s="185" t="str">
        <f t="shared" ref="V874" si="1108">E878</f>
        <v/>
      </c>
      <c r="W874" s="185" t="str">
        <f t="shared" ref="W874" si="1109">E879</f>
        <v/>
      </c>
      <c r="X874" s="185" t="str">
        <f t="shared" ref="X874" si="1110">E880</f>
        <v/>
      </c>
      <c r="AD874" s="244"/>
      <c r="AE874" s="355" t="str">
        <f>IF(OR(AM874="",AM874=0,AJ874="",AG874=""),"",
(IF(AND(AF872=$P$4,AM874&lt;=$R$4),$V$4,0)+IF(AND(AF872=$P$5,AM874&lt;=$R$5),$V$5,0)+IF(AND(AF872=$P$6,AM874&lt;=$R$6),$V$6,0)+IF(AND(AF872=$P$7,AM874&lt;=$R$7),$V$7,0))
)</f>
        <v/>
      </c>
      <c r="AF874" s="153" t="s">
        <v>302</v>
      </c>
      <c r="AG874" s="598"/>
      <c r="AH874" s="599"/>
      <c r="AI874" s="600"/>
      <c r="AJ874" s="598"/>
      <c r="AK874" s="599"/>
      <c r="AL874" s="600"/>
      <c r="AM874" s="384"/>
      <c r="AN874" s="256"/>
      <c r="AO874" s="388"/>
      <c r="AP874" s="185">
        <f t="shared" ref="AP874" si="1111">IF(AF872="",0,1)</f>
        <v>0</v>
      </c>
      <c r="AR874" s="185" t="str">
        <f t="shared" ref="AR874" si="1112">AE874</f>
        <v/>
      </c>
      <c r="AS874" s="185" t="str">
        <f t="shared" ref="AS874" si="1113">AE875</f>
        <v/>
      </c>
      <c r="AT874" s="185" t="str">
        <f t="shared" ref="AT874" si="1114">AE876</f>
        <v/>
      </c>
      <c r="AU874" s="185" t="str">
        <f t="shared" ref="AU874" si="1115">AE877</f>
        <v/>
      </c>
      <c r="AV874" s="185" t="str">
        <f t="shared" ref="AV874" si="1116">AE878</f>
        <v/>
      </c>
      <c r="AW874" s="185" t="str">
        <f t="shared" ref="AW874" si="1117">AE879</f>
        <v/>
      </c>
      <c r="AX874" s="185" t="str">
        <f t="shared" ref="AX874" si="1118">AE880</f>
        <v/>
      </c>
    </row>
    <row r="875" spans="4:50" x14ac:dyDescent="0.3">
      <c r="D875" s="244"/>
      <c r="E875" s="341" t="str">
        <f>IF(OR(M875="",M875=0,J875="",G875=""),"",
(IF(AND(F872=$P$4,M875&lt;=$R$4),$V$4,0)+IF(AND(F872=$P$5,M875&lt;=$R$5),$V$5,0)+IF(AND(F872=$P$6,M875&lt;=$R$6),$V$6,0)+IF(AND(F872=$P$7,M875&lt;=$R$7),$V$7,0))
)</f>
        <v/>
      </c>
      <c r="F875" s="153" t="s">
        <v>303</v>
      </c>
      <c r="G875" s="616"/>
      <c r="H875" s="617"/>
      <c r="I875" s="618"/>
      <c r="J875" s="616"/>
      <c r="K875" s="617"/>
      <c r="L875" s="618"/>
      <c r="M875" s="255"/>
      <c r="N875" s="256"/>
      <c r="O875" s="388"/>
      <c r="AD875" s="244"/>
      <c r="AE875" s="341" t="str">
        <f>IF(OR(AM875="",AM875=0,AJ875="",AG875=""),"",
(IF(AND(AF872=$P$4,AM875&lt;=$R$4),$V$4,0)+IF(AND(AF872=$P$5,AM875&lt;=$R$5),$V$5,0)+IF(AND(AF872=$P$6,AM875&lt;=$R$6),$V$6,0)+IF(AND(AF872=$P$7,AM875&lt;=$R$7),$V$7,0))
)</f>
        <v/>
      </c>
      <c r="AF875" s="153" t="s">
        <v>303</v>
      </c>
      <c r="AG875" s="598"/>
      <c r="AH875" s="599"/>
      <c r="AI875" s="600"/>
      <c r="AJ875" s="598"/>
      <c r="AK875" s="599"/>
      <c r="AL875" s="600"/>
      <c r="AM875" s="384"/>
      <c r="AN875" s="256"/>
      <c r="AO875" s="388"/>
    </row>
    <row r="876" spans="4:50" x14ac:dyDescent="0.3">
      <c r="D876" s="244"/>
      <c r="E876" s="341" t="str">
        <f>IF(OR(M876="",M876=0,J876="",G876=""),"",
(IF(AND(F872=$P$4,M876&lt;=$R$4),$V$4,0)+IF(AND(F872=$P$5,M876&lt;=$R$5),$V$5,0)+IF(AND(F872=$P$6,M876&lt;=$R$6),$V$6,0)+IF(AND(F872=$P$7,M876&lt;=$R$7),$V$7,0))
)</f>
        <v/>
      </c>
      <c r="F876" s="153" t="s">
        <v>304</v>
      </c>
      <c r="G876" s="616"/>
      <c r="H876" s="617"/>
      <c r="I876" s="618"/>
      <c r="J876" s="616"/>
      <c r="K876" s="617"/>
      <c r="L876" s="618"/>
      <c r="M876" s="255"/>
      <c r="N876" s="256"/>
      <c r="O876" s="388"/>
      <c r="AD876" s="244"/>
      <c r="AE876" s="341" t="str">
        <f>IF(OR(AM876="",AM876=0,AJ876="",AG876=""),"",
(IF(AND(AF872=$P$4,AM876&lt;=$R$4),$V$4,0)+IF(AND(AF872=$P$5,AM876&lt;=$R$5),$V$5,0)+IF(AND(AF872=$P$6,AM876&lt;=$R$6),$V$6,0)+IF(AND(AF872=$P$7,AM876&lt;=$R$7),$V$7,0))
)</f>
        <v/>
      </c>
      <c r="AF876" s="153" t="s">
        <v>304</v>
      </c>
      <c r="AG876" s="598"/>
      <c r="AH876" s="599"/>
      <c r="AI876" s="600"/>
      <c r="AJ876" s="598"/>
      <c r="AK876" s="599"/>
      <c r="AL876" s="600"/>
      <c r="AM876" s="384"/>
      <c r="AN876" s="256"/>
      <c r="AO876" s="388"/>
    </row>
    <row r="877" spans="4:50" x14ac:dyDescent="0.3">
      <c r="D877" s="244"/>
      <c r="E877" s="341" t="str">
        <f>IF(OR(M877="",M877=0,J877="",G877=""),"",
(IF(AND(F872=$P$4,M877&lt;=$R$4),$V$4,0)+IF(AND(F872=$P$5,M877&lt;=$R$5),$V$5,0)+IF(AND(F872=$P$6,M877&lt;=$R$6),$V$6,0)+IF(AND(F872=$P$7,M877&lt;=$R$7),$V$7,0))
)</f>
        <v/>
      </c>
      <c r="F877" s="153" t="s">
        <v>305</v>
      </c>
      <c r="G877" s="616"/>
      <c r="H877" s="617"/>
      <c r="I877" s="618"/>
      <c r="J877" s="616"/>
      <c r="K877" s="617"/>
      <c r="L877" s="618"/>
      <c r="M877" s="255"/>
      <c r="N877" s="256"/>
      <c r="O877" s="388"/>
      <c r="AD877" s="244"/>
      <c r="AE877" s="341" t="str">
        <f>IF(OR(AM877="",AM877=0,AJ877="",AG877=""),"",
(IF(AND(AF872=$P$4,AM877&lt;=$R$4),$V$4,0)+IF(AND(AF872=$P$5,AM877&lt;=$R$5),$V$5,0)+IF(AND(AF872=$P$6,AM877&lt;=$R$6),$V$6,0)+IF(AND(AF872=$P$7,AM877&lt;=$R$7),$V$7,0))
)</f>
        <v/>
      </c>
      <c r="AF877" s="153" t="s">
        <v>305</v>
      </c>
      <c r="AG877" s="598"/>
      <c r="AH877" s="599"/>
      <c r="AI877" s="600"/>
      <c r="AJ877" s="598"/>
      <c r="AK877" s="599"/>
      <c r="AL877" s="600"/>
      <c r="AM877" s="384"/>
      <c r="AN877" s="256"/>
      <c r="AO877" s="388"/>
    </row>
    <row r="878" spans="4:50" x14ac:dyDescent="0.3">
      <c r="D878" s="244"/>
      <c r="E878" s="341" t="str">
        <f>IF(OR(M878="",M878=0,J878="",G878=""),"",
(IF(AND(F872=$P$4,M878&lt;=$R$4),$V$4,0)+IF(AND(F872=$P$5,M878&lt;=$R$5),$V$5,0)+IF(AND(F872=$P$6,M878&lt;=$R$6),$V$6,0)+IF(AND(F872=$P$7,M878&lt;=$R$7),$V$7,0))
)</f>
        <v/>
      </c>
      <c r="F878" s="153" t="s">
        <v>306</v>
      </c>
      <c r="G878" s="616"/>
      <c r="H878" s="617"/>
      <c r="I878" s="618"/>
      <c r="J878" s="616"/>
      <c r="K878" s="617"/>
      <c r="L878" s="618"/>
      <c r="M878" s="255"/>
      <c r="N878" s="256"/>
      <c r="O878" s="388"/>
      <c r="AD878" s="244"/>
      <c r="AE878" s="341" t="str">
        <f>IF(OR(AM878="",AM878=0,AJ878="",AG878=""),"",
(IF(AND(AF872=$P$4,AM878&lt;=$R$4),$V$4,0)+IF(AND(AF872=$P$5,AM878&lt;=$R$5),$V$5,0)+IF(AND(AF872=$P$6,AM878&lt;=$R$6),$V$6,0)+IF(AND(AF872=$P$7,AM878&lt;=$R$7),$V$7,0))
)</f>
        <v/>
      </c>
      <c r="AF878" s="153" t="s">
        <v>306</v>
      </c>
      <c r="AG878" s="598"/>
      <c r="AH878" s="599"/>
      <c r="AI878" s="600"/>
      <c r="AJ878" s="598"/>
      <c r="AK878" s="599"/>
      <c r="AL878" s="600"/>
      <c r="AM878" s="384"/>
      <c r="AN878" s="256"/>
      <c r="AO878" s="388"/>
    </row>
    <row r="879" spans="4:50" x14ac:dyDescent="0.3">
      <c r="D879" s="244"/>
      <c r="E879" s="341" t="str">
        <f>IF(OR(M879="",M879=0,J879="",G879=""),"",
(IF(AND(F872=$P$4,M879&lt;=$R$4),$V$4,0)+IF(AND(F872=$P$5,M879&lt;=$R$5),$V$5,0)+IF(AND(F872=$P$6,M879&lt;=$R$6),$V$6,0)+IF(AND(F872=$P$7,M879&lt;=$R$7),$V$7,0))
)</f>
        <v/>
      </c>
      <c r="F879" s="153" t="s">
        <v>307</v>
      </c>
      <c r="G879" s="616"/>
      <c r="H879" s="617"/>
      <c r="I879" s="618"/>
      <c r="J879" s="616"/>
      <c r="K879" s="617"/>
      <c r="L879" s="618"/>
      <c r="M879" s="255"/>
      <c r="N879" s="256"/>
      <c r="O879" s="388"/>
      <c r="AD879" s="244"/>
      <c r="AE879" s="341" t="str">
        <f>IF(OR(AM879="",AM879=0,AJ879="",AG879=""),"",
(IF(AND(AF872=$P$4,AM879&lt;=$R$4),$V$4,0)+IF(AND(AF872=$P$5,AM879&lt;=$R$5),$V$5,0)+IF(AND(AF872=$P$6,AM879&lt;=$R$6),$V$6,0)+IF(AND(AF872=$P$7,AM879&lt;=$R$7),$V$7,0))
)</f>
        <v/>
      </c>
      <c r="AF879" s="153" t="s">
        <v>307</v>
      </c>
      <c r="AG879" s="598"/>
      <c r="AH879" s="599"/>
      <c r="AI879" s="600"/>
      <c r="AJ879" s="598"/>
      <c r="AK879" s="599"/>
      <c r="AL879" s="600"/>
      <c r="AM879" s="384"/>
      <c r="AN879" s="256"/>
      <c r="AO879" s="388"/>
    </row>
    <row r="880" spans="4:50" x14ac:dyDescent="0.3">
      <c r="D880" s="244"/>
      <c r="E880" s="341" t="str">
        <f>IF(OR(M880="",M880=0,J880="",G880=""),"",
(IF(AND(F872=$P$4,M880&lt;=$R$4),$V$4,0)+IF(AND(F872=$P$5,M880&lt;=$R$5),$V$5,0)+IF(AND(F872=$P$6,M880&lt;=$R$6),$V$6,0)+IF(AND(F872=$P$7,M880&lt;=$R$7),$V$7,0))
)</f>
        <v/>
      </c>
      <c r="F880" s="153" t="s">
        <v>308</v>
      </c>
      <c r="G880" s="616"/>
      <c r="H880" s="617"/>
      <c r="I880" s="618"/>
      <c r="J880" s="616"/>
      <c r="K880" s="617"/>
      <c r="L880" s="618"/>
      <c r="M880" s="255"/>
      <c r="N880" s="256"/>
      <c r="O880" s="388"/>
      <c r="AD880" s="244"/>
      <c r="AE880" s="341" t="str">
        <f>IF(OR(AM880="",AM880=0,AJ880="",AG880=""),"",
(IF(AND(AF872=$P$4,AM880&lt;=$R$4),$V$4,0)+IF(AND(AF872=$P$5,AM880&lt;=$R$5),$V$5,0)+IF(AND(AF872=$P$6,AM880&lt;=$R$6),$V$6,0)+IF(AND(AF872=$P$7,AM880&lt;=$R$7),$V$7,0))
)</f>
        <v/>
      </c>
      <c r="AF880" s="153" t="s">
        <v>308</v>
      </c>
      <c r="AG880" s="598"/>
      <c r="AH880" s="599"/>
      <c r="AI880" s="600"/>
      <c r="AJ880" s="598"/>
      <c r="AK880" s="599"/>
      <c r="AL880" s="600"/>
      <c r="AM880" s="384"/>
      <c r="AN880" s="256"/>
      <c r="AO880" s="388"/>
    </row>
    <row r="881" spans="4:50" ht="16.2" thickBot="1" x14ac:dyDescent="0.35">
      <c r="D881" s="203"/>
      <c r="E881" s="3"/>
      <c r="F881" s="3"/>
      <c r="G881" s="3"/>
      <c r="H881" s="3"/>
      <c r="I881" s="3"/>
      <c r="J881" s="3"/>
      <c r="K881" s="3"/>
      <c r="L881" s="3"/>
      <c r="M881" s="3"/>
      <c r="N881" s="204"/>
      <c r="P881" s="2"/>
      <c r="AD881" s="203"/>
      <c r="AE881" s="3"/>
      <c r="AF881" s="3"/>
      <c r="AG881" s="3"/>
      <c r="AH881" s="3"/>
      <c r="AI881" s="3"/>
      <c r="AJ881" s="3"/>
      <c r="AK881" s="3"/>
      <c r="AL881" s="3"/>
      <c r="AM881" s="3"/>
      <c r="AN881" s="204"/>
      <c r="AP881" s="2"/>
    </row>
    <row r="882" spans="4:50" x14ac:dyDescent="0.3">
      <c r="D882" s="601" t="str">
        <f>IF(
OR(
OR(F884=$P$4,F884=$P$5,F884=$P$6,F884=$P$7),AND(G886="",G887="",G888="",G889="",G890="",G891="",G892="",J886="",J887="",J888="",J889="",J890="",J891="",J892="",M886="",M887="",M888="",M889="",M890="",M891="",M892="",K883="",K884="")
),
"",
"A Set-Aside must be selected."
)</f>
        <v/>
      </c>
      <c r="E882" s="602"/>
      <c r="F882" s="602"/>
      <c r="G882" s="602"/>
      <c r="H882" s="602"/>
      <c r="I882" s="602"/>
      <c r="J882" s="602"/>
      <c r="K882" s="602"/>
      <c r="L882" s="602"/>
      <c r="M882" s="602"/>
      <c r="N882" s="603"/>
      <c r="O882" s="2"/>
      <c r="AD882" s="601" t="str">
        <f>IF(
OR(
OR(AF884=$P$4,AF884=$P$5,AF884=$P$6,AF884=$P$7),AND(AG886="",AG887="",AG888="",AG889="",AG890="",AG891="",AG892="",AJ886="",AJ887="",AJ888="",AJ889="",AJ890="",AJ891="",AJ892="",AM886="",AM887="",AM888="",AM889="",AM890="",AM891="",AM892="",AK883="",AK884="")
),
"",
"A Set-Aside must be selected."
)</f>
        <v/>
      </c>
      <c r="AE882" s="602"/>
      <c r="AF882" s="602"/>
      <c r="AG882" s="602"/>
      <c r="AH882" s="602"/>
      <c r="AI882" s="602"/>
      <c r="AJ882" s="602"/>
      <c r="AK882" s="602"/>
      <c r="AL882" s="602"/>
      <c r="AM882" s="602"/>
      <c r="AN882" s="603"/>
      <c r="AO882" s="2"/>
    </row>
    <row r="883" spans="4:50" ht="15.75" customHeight="1" x14ac:dyDescent="0.3">
      <c r="D883" s="199"/>
      <c r="E883" s="9" t="s">
        <v>30</v>
      </c>
      <c r="F883" s="86">
        <f>F871+1</f>
        <v>71</v>
      </c>
      <c r="G883" s="9" t="s">
        <v>175</v>
      </c>
      <c r="H883" s="9"/>
      <c r="I883" s="9"/>
      <c r="J883" s="168" t="s">
        <v>111</v>
      </c>
      <c r="K883" s="148"/>
      <c r="N883" s="200"/>
      <c r="R883" s="596" t="s">
        <v>302</v>
      </c>
      <c r="S883" s="596" t="s">
        <v>303</v>
      </c>
      <c r="T883" s="596" t="s">
        <v>304</v>
      </c>
      <c r="U883" s="596" t="s">
        <v>305</v>
      </c>
      <c r="V883" s="596" t="s">
        <v>306</v>
      </c>
      <c r="W883" s="596" t="s">
        <v>307</v>
      </c>
      <c r="X883" s="596" t="s">
        <v>308</v>
      </c>
      <c r="AD883" s="199"/>
      <c r="AE883" s="9" t="s">
        <v>30</v>
      </c>
      <c r="AF883" s="86">
        <f>AF871+1</f>
        <v>71</v>
      </c>
      <c r="AG883" s="9" t="s">
        <v>175</v>
      </c>
      <c r="AH883" s="9"/>
      <c r="AI883" s="9"/>
      <c r="AJ883" s="168" t="s">
        <v>111</v>
      </c>
      <c r="AK883" s="382"/>
      <c r="AN883" s="200"/>
      <c r="AR883" s="596" t="s">
        <v>302</v>
      </c>
      <c r="AS883" s="596" t="s">
        <v>303</v>
      </c>
      <c r="AT883" s="596" t="s">
        <v>304</v>
      </c>
      <c r="AU883" s="596" t="s">
        <v>305</v>
      </c>
      <c r="AV883" s="596" t="s">
        <v>306</v>
      </c>
      <c r="AW883" s="596" t="s">
        <v>307</v>
      </c>
      <c r="AX883" s="596" t="s">
        <v>308</v>
      </c>
    </row>
    <row r="884" spans="4:50" x14ac:dyDescent="0.3">
      <c r="D884" s="604" t="s">
        <v>31</v>
      </c>
      <c r="E884" s="594"/>
      <c r="F884" s="151"/>
      <c r="G884" s="86" t="str">
        <f>IF(F884=$P$4,$Q$4,IF(F884=$P$5,$Q$5,IF(F884=$P$6,$Q$6,IF(F884=$P$7,Q$7,IF(F884=$P$8,"","")))))</f>
        <v/>
      </c>
      <c r="H884" s="201"/>
      <c r="I884" s="201"/>
      <c r="J884" s="168" t="s">
        <v>112</v>
      </c>
      <c r="K884" s="148"/>
      <c r="N884" s="200"/>
      <c r="R884" s="596"/>
      <c r="S884" s="596"/>
      <c r="T884" s="596"/>
      <c r="U884" s="596"/>
      <c r="V884" s="596"/>
      <c r="W884" s="596"/>
      <c r="X884" s="596"/>
      <c r="AD884" s="604" t="s">
        <v>31</v>
      </c>
      <c r="AE884" s="594"/>
      <c r="AF884" s="383"/>
      <c r="AG884" s="86" t="str">
        <f>IF(AF884=$P$4,$Q$4,IF(AF884=$P$5,$Q$5,IF(AF884=$P$6,$Q$6,IF(AF884=$P$7,AQ$7,IF(AF884=$P$8,"","")))))</f>
        <v/>
      </c>
      <c r="AH884" s="201"/>
      <c r="AI884" s="201"/>
      <c r="AJ884" s="168" t="s">
        <v>112</v>
      </c>
      <c r="AK884" s="382"/>
      <c r="AN884" s="200"/>
      <c r="AR884" s="596"/>
      <c r="AS884" s="596"/>
      <c r="AT884" s="596"/>
      <c r="AU884" s="596"/>
      <c r="AV884" s="596"/>
      <c r="AW884" s="596"/>
      <c r="AX884" s="596"/>
    </row>
    <row r="885" spans="4:50" x14ac:dyDescent="0.3">
      <c r="D885" s="244"/>
      <c r="E885" s="230" t="s">
        <v>52</v>
      </c>
      <c r="F885" s="9" t="s">
        <v>32</v>
      </c>
      <c r="G885" s="9" t="s">
        <v>33</v>
      </c>
      <c r="H885" s="9"/>
      <c r="I885" s="9"/>
      <c r="J885" s="9" t="s">
        <v>34</v>
      </c>
      <c r="K885" s="9"/>
      <c r="L885" s="9"/>
      <c r="M885" s="257" t="s">
        <v>35</v>
      </c>
      <c r="N885" s="202"/>
      <c r="O885" s="9"/>
      <c r="P885" s="198" t="s">
        <v>22</v>
      </c>
      <c r="Q885" s="198"/>
      <c r="R885" s="596"/>
      <c r="S885" s="596"/>
      <c r="T885" s="596"/>
      <c r="U885" s="596"/>
      <c r="V885" s="596"/>
      <c r="W885" s="596"/>
      <c r="X885" s="596"/>
      <c r="AD885" s="244"/>
      <c r="AE885" s="230" t="s">
        <v>52</v>
      </c>
      <c r="AF885" s="9" t="s">
        <v>32</v>
      </c>
      <c r="AG885" s="9" t="s">
        <v>33</v>
      </c>
      <c r="AH885" s="9"/>
      <c r="AI885" s="9"/>
      <c r="AJ885" s="9" t="s">
        <v>34</v>
      </c>
      <c r="AK885" s="9"/>
      <c r="AL885" s="9"/>
      <c r="AM885" s="257" t="s">
        <v>35</v>
      </c>
      <c r="AN885" s="202"/>
      <c r="AO885" s="9"/>
      <c r="AP885" s="198" t="s">
        <v>22</v>
      </c>
      <c r="AQ885" s="198"/>
      <c r="AR885" s="596"/>
      <c r="AS885" s="596"/>
      <c r="AT885" s="596"/>
      <c r="AU885" s="596"/>
      <c r="AV885" s="596"/>
      <c r="AW885" s="596"/>
      <c r="AX885" s="596"/>
    </row>
    <row r="886" spans="4:50" x14ac:dyDescent="0.3">
      <c r="D886" s="244"/>
      <c r="E886" s="355" t="str">
        <f>IF(OR(M886="",M886=0,J886="",G886=""),"",
(IF(AND(F884=$P$4,M886&lt;=$R$4),$V$4,0)+IF(AND(F884=$P$5,M886&lt;=$R$5),$V$5,0)+IF(AND(F884=$P$6,M886&lt;=$R$6),$V$6,0)+IF(AND(F884=$P$7,M886&lt;=$R$7),$V$7,0))
)</f>
        <v/>
      </c>
      <c r="F886" s="153" t="s">
        <v>302</v>
      </c>
      <c r="G886" s="616"/>
      <c r="H886" s="617"/>
      <c r="I886" s="618"/>
      <c r="J886" s="616"/>
      <c r="K886" s="617"/>
      <c r="L886" s="618"/>
      <c r="M886" s="255"/>
      <c r="N886" s="256"/>
      <c r="O886" s="388"/>
      <c r="P886" s="185">
        <f t="shared" ref="P886" si="1119">IF(F884="",0,1)</f>
        <v>0</v>
      </c>
      <c r="R886" s="185" t="str">
        <f t="shared" ref="R886" si="1120">E886</f>
        <v/>
      </c>
      <c r="S886" s="185" t="str">
        <f t="shared" ref="S886" si="1121">E887</f>
        <v/>
      </c>
      <c r="T886" s="185" t="str">
        <f t="shared" ref="T886" si="1122">E888</f>
        <v/>
      </c>
      <c r="U886" s="185" t="str">
        <f t="shared" ref="U886" si="1123">E889</f>
        <v/>
      </c>
      <c r="V886" s="185" t="str">
        <f t="shared" ref="V886" si="1124">E890</f>
        <v/>
      </c>
      <c r="W886" s="185" t="str">
        <f t="shared" ref="W886" si="1125">E891</f>
        <v/>
      </c>
      <c r="X886" s="185" t="str">
        <f t="shared" ref="X886" si="1126">E892</f>
        <v/>
      </c>
      <c r="AD886" s="244"/>
      <c r="AE886" s="355" t="str">
        <f>IF(OR(AM886="",AM886=0,AJ886="",AG886=""),"",
(IF(AND(AF884=$P$4,AM886&lt;=$R$4),$V$4,0)+IF(AND(AF884=$P$5,AM886&lt;=$R$5),$V$5,0)+IF(AND(AF884=$P$6,AM886&lt;=$R$6),$V$6,0)+IF(AND(AF884=$P$7,AM886&lt;=$R$7),$V$7,0))
)</f>
        <v/>
      </c>
      <c r="AF886" s="153" t="s">
        <v>302</v>
      </c>
      <c r="AG886" s="598"/>
      <c r="AH886" s="599"/>
      <c r="AI886" s="600"/>
      <c r="AJ886" s="598"/>
      <c r="AK886" s="599"/>
      <c r="AL886" s="600"/>
      <c r="AM886" s="384"/>
      <c r="AN886" s="256"/>
      <c r="AO886" s="388"/>
      <c r="AP886" s="185">
        <f t="shared" ref="AP886" si="1127">IF(AF884="",0,1)</f>
        <v>0</v>
      </c>
      <c r="AR886" s="185" t="str">
        <f t="shared" ref="AR886" si="1128">AE886</f>
        <v/>
      </c>
      <c r="AS886" s="185" t="str">
        <f t="shared" ref="AS886" si="1129">AE887</f>
        <v/>
      </c>
      <c r="AT886" s="185" t="str">
        <f t="shared" ref="AT886" si="1130">AE888</f>
        <v/>
      </c>
      <c r="AU886" s="185" t="str">
        <f t="shared" ref="AU886" si="1131">AE889</f>
        <v/>
      </c>
      <c r="AV886" s="185" t="str">
        <f t="shared" ref="AV886" si="1132">AE890</f>
        <v/>
      </c>
      <c r="AW886" s="185" t="str">
        <f t="shared" ref="AW886" si="1133">AE891</f>
        <v/>
      </c>
      <c r="AX886" s="185" t="str">
        <f t="shared" ref="AX886" si="1134">AE892</f>
        <v/>
      </c>
    </row>
    <row r="887" spans="4:50" x14ac:dyDescent="0.3">
      <c r="D887" s="244"/>
      <c r="E887" s="341" t="str">
        <f>IF(OR(M887="",M887=0,J887="",G887=""),"",
(IF(AND(F884=$P$4,M887&lt;=$R$4),$V$4,0)+IF(AND(F884=$P$5,M887&lt;=$R$5),$V$5,0)+IF(AND(F884=$P$6,M887&lt;=$R$6),$V$6,0)+IF(AND(F884=$P$7,M887&lt;=$R$7),$V$7,0))
)</f>
        <v/>
      </c>
      <c r="F887" s="153" t="s">
        <v>303</v>
      </c>
      <c r="G887" s="616"/>
      <c r="H887" s="617"/>
      <c r="I887" s="618"/>
      <c r="J887" s="616"/>
      <c r="K887" s="617"/>
      <c r="L887" s="618"/>
      <c r="M887" s="255"/>
      <c r="N887" s="256"/>
      <c r="O887" s="388"/>
      <c r="AD887" s="244"/>
      <c r="AE887" s="341" t="str">
        <f>IF(OR(AM887="",AM887=0,AJ887="",AG887=""),"",
(IF(AND(AF884=$P$4,AM887&lt;=$R$4),$V$4,0)+IF(AND(AF884=$P$5,AM887&lt;=$R$5),$V$5,0)+IF(AND(AF884=$P$6,AM887&lt;=$R$6),$V$6,0)+IF(AND(AF884=$P$7,AM887&lt;=$R$7),$V$7,0))
)</f>
        <v/>
      </c>
      <c r="AF887" s="153" t="s">
        <v>303</v>
      </c>
      <c r="AG887" s="598"/>
      <c r="AH887" s="599"/>
      <c r="AI887" s="600"/>
      <c r="AJ887" s="598"/>
      <c r="AK887" s="599"/>
      <c r="AL887" s="600"/>
      <c r="AM887" s="384"/>
      <c r="AN887" s="256"/>
      <c r="AO887" s="388"/>
    </row>
    <row r="888" spans="4:50" x14ac:dyDescent="0.3">
      <c r="D888" s="244"/>
      <c r="E888" s="341" t="str">
        <f>IF(OR(M888="",M888=0,J888="",G888=""),"",
(IF(AND(F884=$P$4,M888&lt;=$R$4),$V$4,0)+IF(AND(F884=$P$5,M888&lt;=$R$5),$V$5,0)+IF(AND(F884=$P$6,M888&lt;=$R$6),$V$6,0)+IF(AND(F884=$P$7,M888&lt;=$R$7),$V$7,0))
)</f>
        <v/>
      </c>
      <c r="F888" s="153" t="s">
        <v>304</v>
      </c>
      <c r="G888" s="616"/>
      <c r="H888" s="617"/>
      <c r="I888" s="618"/>
      <c r="J888" s="616"/>
      <c r="K888" s="617"/>
      <c r="L888" s="618"/>
      <c r="M888" s="255"/>
      <c r="N888" s="256"/>
      <c r="O888" s="388"/>
      <c r="AD888" s="244"/>
      <c r="AE888" s="341" t="str">
        <f>IF(OR(AM888="",AM888=0,AJ888="",AG888=""),"",
(IF(AND(AF884=$P$4,AM888&lt;=$R$4),$V$4,0)+IF(AND(AF884=$P$5,AM888&lt;=$R$5),$V$5,0)+IF(AND(AF884=$P$6,AM888&lt;=$R$6),$V$6,0)+IF(AND(AF884=$P$7,AM888&lt;=$R$7),$V$7,0))
)</f>
        <v/>
      </c>
      <c r="AF888" s="153" t="s">
        <v>304</v>
      </c>
      <c r="AG888" s="598"/>
      <c r="AH888" s="599"/>
      <c r="AI888" s="600"/>
      <c r="AJ888" s="598"/>
      <c r="AK888" s="599"/>
      <c r="AL888" s="600"/>
      <c r="AM888" s="384"/>
      <c r="AN888" s="256"/>
      <c r="AO888" s="388"/>
    </row>
    <row r="889" spans="4:50" x14ac:dyDescent="0.3">
      <c r="D889" s="244"/>
      <c r="E889" s="341" t="str">
        <f>IF(OR(M889="",M889=0,J889="",G889=""),"",
(IF(AND(F884=$P$4,M889&lt;=$R$4),$V$4,0)+IF(AND(F884=$P$5,M889&lt;=$R$5),$V$5,0)+IF(AND(F884=$P$6,M889&lt;=$R$6),$V$6,0)+IF(AND(F884=$P$7,M889&lt;=$R$7),$V$7,0))
)</f>
        <v/>
      </c>
      <c r="F889" s="153" t="s">
        <v>305</v>
      </c>
      <c r="G889" s="616"/>
      <c r="H889" s="617"/>
      <c r="I889" s="618"/>
      <c r="J889" s="616"/>
      <c r="K889" s="617"/>
      <c r="L889" s="618"/>
      <c r="M889" s="255"/>
      <c r="N889" s="256"/>
      <c r="O889" s="388"/>
      <c r="AD889" s="244"/>
      <c r="AE889" s="341" t="str">
        <f>IF(OR(AM889="",AM889=0,AJ889="",AG889=""),"",
(IF(AND(AF884=$P$4,AM889&lt;=$R$4),$V$4,0)+IF(AND(AF884=$P$5,AM889&lt;=$R$5),$V$5,0)+IF(AND(AF884=$P$6,AM889&lt;=$R$6),$V$6,0)+IF(AND(AF884=$P$7,AM889&lt;=$R$7),$V$7,0))
)</f>
        <v/>
      </c>
      <c r="AF889" s="153" t="s">
        <v>305</v>
      </c>
      <c r="AG889" s="598"/>
      <c r="AH889" s="599"/>
      <c r="AI889" s="600"/>
      <c r="AJ889" s="598"/>
      <c r="AK889" s="599"/>
      <c r="AL889" s="600"/>
      <c r="AM889" s="384"/>
      <c r="AN889" s="256"/>
      <c r="AO889" s="388"/>
    </row>
    <row r="890" spans="4:50" x14ac:dyDescent="0.3">
      <c r="D890" s="244"/>
      <c r="E890" s="341" t="str">
        <f>IF(OR(M890="",M890=0,J890="",G890=""),"",
(IF(AND(F884=$P$4,M890&lt;=$R$4),$V$4,0)+IF(AND(F884=$P$5,M890&lt;=$R$5),$V$5,0)+IF(AND(F884=$P$6,M890&lt;=$R$6),$V$6,0)+IF(AND(F884=$P$7,M890&lt;=$R$7),$V$7,0))
)</f>
        <v/>
      </c>
      <c r="F890" s="153" t="s">
        <v>306</v>
      </c>
      <c r="G890" s="616"/>
      <c r="H890" s="617"/>
      <c r="I890" s="618"/>
      <c r="J890" s="616"/>
      <c r="K890" s="617"/>
      <c r="L890" s="618"/>
      <c r="M890" s="255"/>
      <c r="N890" s="256"/>
      <c r="O890" s="388"/>
      <c r="AD890" s="244"/>
      <c r="AE890" s="341" t="str">
        <f>IF(OR(AM890="",AM890=0,AJ890="",AG890=""),"",
(IF(AND(AF884=$P$4,AM890&lt;=$R$4),$V$4,0)+IF(AND(AF884=$P$5,AM890&lt;=$R$5),$V$5,0)+IF(AND(AF884=$P$6,AM890&lt;=$R$6),$V$6,0)+IF(AND(AF884=$P$7,AM890&lt;=$R$7),$V$7,0))
)</f>
        <v/>
      </c>
      <c r="AF890" s="153" t="s">
        <v>306</v>
      </c>
      <c r="AG890" s="598"/>
      <c r="AH890" s="599"/>
      <c r="AI890" s="600"/>
      <c r="AJ890" s="598"/>
      <c r="AK890" s="599"/>
      <c r="AL890" s="600"/>
      <c r="AM890" s="384"/>
      <c r="AN890" s="256"/>
      <c r="AO890" s="388"/>
    </row>
    <row r="891" spans="4:50" x14ac:dyDescent="0.3">
      <c r="D891" s="244"/>
      <c r="E891" s="341" t="str">
        <f>IF(OR(M891="",M891=0,J891="",G891=""),"",
(IF(AND(F884=$P$4,M891&lt;=$R$4),$V$4,0)+IF(AND(F884=$P$5,M891&lt;=$R$5),$V$5,0)+IF(AND(F884=$P$6,M891&lt;=$R$6),$V$6,0)+IF(AND(F884=$P$7,M891&lt;=$R$7),$V$7,0))
)</f>
        <v/>
      </c>
      <c r="F891" s="153" t="s">
        <v>307</v>
      </c>
      <c r="G891" s="616"/>
      <c r="H891" s="617"/>
      <c r="I891" s="618"/>
      <c r="J891" s="616"/>
      <c r="K891" s="617"/>
      <c r="L891" s="618"/>
      <c r="M891" s="255"/>
      <c r="N891" s="256"/>
      <c r="O891" s="388"/>
      <c r="AD891" s="244"/>
      <c r="AE891" s="341" t="str">
        <f>IF(OR(AM891="",AM891=0,AJ891="",AG891=""),"",
(IF(AND(AF884=$P$4,AM891&lt;=$R$4),$V$4,0)+IF(AND(AF884=$P$5,AM891&lt;=$R$5),$V$5,0)+IF(AND(AF884=$P$6,AM891&lt;=$R$6),$V$6,0)+IF(AND(AF884=$P$7,AM891&lt;=$R$7),$V$7,0))
)</f>
        <v/>
      </c>
      <c r="AF891" s="153" t="s">
        <v>307</v>
      </c>
      <c r="AG891" s="598"/>
      <c r="AH891" s="599"/>
      <c r="AI891" s="600"/>
      <c r="AJ891" s="598"/>
      <c r="AK891" s="599"/>
      <c r="AL891" s="600"/>
      <c r="AM891" s="384"/>
      <c r="AN891" s="256"/>
      <c r="AO891" s="388"/>
    </row>
    <row r="892" spans="4:50" x14ac:dyDescent="0.3">
      <c r="D892" s="244"/>
      <c r="E892" s="341" t="str">
        <f>IF(OR(M892="",M892=0,J892="",G892=""),"",
(IF(AND(F884=$P$4,M892&lt;=$R$4),$V$4,0)+IF(AND(F884=$P$5,M892&lt;=$R$5),$V$5,0)+IF(AND(F884=$P$6,M892&lt;=$R$6),$V$6,0)+IF(AND(F884=$P$7,M892&lt;=$R$7),$V$7,0))
)</f>
        <v/>
      </c>
      <c r="F892" s="153" t="s">
        <v>308</v>
      </c>
      <c r="G892" s="616"/>
      <c r="H892" s="617"/>
      <c r="I892" s="618"/>
      <c r="J892" s="616"/>
      <c r="K892" s="617"/>
      <c r="L892" s="618"/>
      <c r="M892" s="255"/>
      <c r="N892" s="256"/>
      <c r="O892" s="388"/>
      <c r="AD892" s="244"/>
      <c r="AE892" s="341" t="str">
        <f>IF(OR(AM892="",AM892=0,AJ892="",AG892=""),"",
(IF(AND(AF884=$P$4,AM892&lt;=$R$4),$V$4,0)+IF(AND(AF884=$P$5,AM892&lt;=$R$5),$V$5,0)+IF(AND(AF884=$P$6,AM892&lt;=$R$6),$V$6,0)+IF(AND(AF884=$P$7,AM892&lt;=$R$7),$V$7,0))
)</f>
        <v/>
      </c>
      <c r="AF892" s="153" t="s">
        <v>308</v>
      </c>
      <c r="AG892" s="598"/>
      <c r="AH892" s="599"/>
      <c r="AI892" s="600"/>
      <c r="AJ892" s="598"/>
      <c r="AK892" s="599"/>
      <c r="AL892" s="600"/>
      <c r="AM892" s="384"/>
      <c r="AN892" s="256"/>
      <c r="AO892" s="388"/>
    </row>
    <row r="893" spans="4:50" ht="16.2" thickBot="1" x14ac:dyDescent="0.35">
      <c r="D893" s="203"/>
      <c r="E893" s="3"/>
      <c r="F893" s="3"/>
      <c r="G893" s="3"/>
      <c r="H893" s="3"/>
      <c r="I893" s="3"/>
      <c r="J893" s="3"/>
      <c r="K893" s="3"/>
      <c r="L893" s="3"/>
      <c r="M893" s="3"/>
      <c r="N893" s="204"/>
      <c r="P893" s="2"/>
      <c r="AD893" s="203"/>
      <c r="AE893" s="3"/>
      <c r="AF893" s="3"/>
      <c r="AG893" s="3"/>
      <c r="AH893" s="3"/>
      <c r="AI893" s="3"/>
      <c r="AJ893" s="3"/>
      <c r="AK893" s="3"/>
      <c r="AL893" s="3"/>
      <c r="AM893" s="3"/>
      <c r="AN893" s="204"/>
      <c r="AP893" s="2"/>
    </row>
    <row r="894" spans="4:50" x14ac:dyDescent="0.3">
      <c r="D894" s="601" t="str">
        <f>IF(
OR(
OR(F896=$P$4,F896=$P$5,F896=$P$6,F896=$P$7),AND(G898="",G899="",G900="",G901="",G902="",G903="",G904="",J898="",J899="",J900="",J901="",J902="",J903="",J904="",M898="",M899="",M900="",M901="",M902="",M903="",M904="",K895="",K896="")
),
"",
"A Set-Aside must be selected."
)</f>
        <v/>
      </c>
      <c r="E894" s="602"/>
      <c r="F894" s="602"/>
      <c r="G894" s="602"/>
      <c r="H894" s="602"/>
      <c r="I894" s="602"/>
      <c r="J894" s="602"/>
      <c r="K894" s="602"/>
      <c r="L894" s="602"/>
      <c r="M894" s="602"/>
      <c r="N894" s="603"/>
      <c r="O894" s="2"/>
      <c r="AD894" s="601" t="str">
        <f>IF(
OR(
OR(AF896=$P$4,AF896=$P$5,AF896=$P$6,AF896=$P$7),AND(AG898="",AG899="",AG900="",AG901="",AG902="",AG903="",AG904="",AJ898="",AJ899="",AJ900="",AJ901="",AJ902="",AJ903="",AJ904="",AM898="",AM899="",AM900="",AM901="",AM902="",AM903="",AM904="",AK895="",AK896="")
),
"",
"A Set-Aside must be selected."
)</f>
        <v/>
      </c>
      <c r="AE894" s="602"/>
      <c r="AF894" s="602"/>
      <c r="AG894" s="602"/>
      <c r="AH894" s="602"/>
      <c r="AI894" s="602"/>
      <c r="AJ894" s="602"/>
      <c r="AK894" s="602"/>
      <c r="AL894" s="602"/>
      <c r="AM894" s="602"/>
      <c r="AN894" s="603"/>
      <c r="AO894" s="2"/>
    </row>
    <row r="895" spans="4:50" ht="15.75" customHeight="1" x14ac:dyDescent="0.3">
      <c r="D895" s="199"/>
      <c r="E895" s="9" t="s">
        <v>30</v>
      </c>
      <c r="F895" s="86">
        <f>F883+1</f>
        <v>72</v>
      </c>
      <c r="G895" s="9" t="s">
        <v>175</v>
      </c>
      <c r="H895" s="9"/>
      <c r="I895" s="9"/>
      <c r="J895" s="168" t="s">
        <v>111</v>
      </c>
      <c r="K895" s="148"/>
      <c r="N895" s="200"/>
      <c r="R895" s="596" t="s">
        <v>302</v>
      </c>
      <c r="S895" s="596" t="s">
        <v>303</v>
      </c>
      <c r="T895" s="596" t="s">
        <v>304</v>
      </c>
      <c r="U895" s="596" t="s">
        <v>305</v>
      </c>
      <c r="V895" s="596" t="s">
        <v>306</v>
      </c>
      <c r="W895" s="596" t="s">
        <v>307</v>
      </c>
      <c r="X895" s="596" t="s">
        <v>308</v>
      </c>
      <c r="AD895" s="199"/>
      <c r="AE895" s="9" t="s">
        <v>30</v>
      </c>
      <c r="AF895" s="86">
        <f>AF883+1</f>
        <v>72</v>
      </c>
      <c r="AG895" s="9" t="s">
        <v>175</v>
      </c>
      <c r="AH895" s="9"/>
      <c r="AI895" s="9"/>
      <c r="AJ895" s="168" t="s">
        <v>111</v>
      </c>
      <c r="AK895" s="382"/>
      <c r="AN895" s="200"/>
      <c r="AR895" s="596" t="s">
        <v>302</v>
      </c>
      <c r="AS895" s="596" t="s">
        <v>303</v>
      </c>
      <c r="AT895" s="596" t="s">
        <v>304</v>
      </c>
      <c r="AU895" s="596" t="s">
        <v>305</v>
      </c>
      <c r="AV895" s="596" t="s">
        <v>306</v>
      </c>
      <c r="AW895" s="596" t="s">
        <v>307</v>
      </c>
      <c r="AX895" s="596" t="s">
        <v>308</v>
      </c>
    </row>
    <row r="896" spans="4:50" x14ac:dyDescent="0.3">
      <c r="D896" s="604" t="s">
        <v>31</v>
      </c>
      <c r="E896" s="594"/>
      <c r="F896" s="151"/>
      <c r="G896" s="86" t="str">
        <f>IF(F896=$P$4,$Q$4,IF(F896=$P$5,$Q$5,IF(F896=$P$6,$Q$6,IF(F896=$P$7,Q$7,IF(F896=$P$8,"","")))))</f>
        <v/>
      </c>
      <c r="H896" s="201"/>
      <c r="I896" s="201"/>
      <c r="J896" s="168" t="s">
        <v>112</v>
      </c>
      <c r="K896" s="148"/>
      <c r="N896" s="200"/>
      <c r="R896" s="596"/>
      <c r="S896" s="596"/>
      <c r="T896" s="596"/>
      <c r="U896" s="596"/>
      <c r="V896" s="596"/>
      <c r="W896" s="596"/>
      <c r="X896" s="596"/>
      <c r="AD896" s="604" t="s">
        <v>31</v>
      </c>
      <c r="AE896" s="594"/>
      <c r="AF896" s="383"/>
      <c r="AG896" s="86" t="str">
        <f>IF(AF896=$P$4,$Q$4,IF(AF896=$P$5,$Q$5,IF(AF896=$P$6,$Q$6,IF(AF896=$P$7,AQ$7,IF(AF896=$P$8,"","")))))</f>
        <v/>
      </c>
      <c r="AH896" s="201"/>
      <c r="AI896" s="201"/>
      <c r="AJ896" s="168" t="s">
        <v>112</v>
      </c>
      <c r="AK896" s="382"/>
      <c r="AN896" s="200"/>
      <c r="AR896" s="596"/>
      <c r="AS896" s="596"/>
      <c r="AT896" s="596"/>
      <c r="AU896" s="596"/>
      <c r="AV896" s="596"/>
      <c r="AW896" s="596"/>
      <c r="AX896" s="596"/>
    </row>
    <row r="897" spans="4:50" x14ac:dyDescent="0.3">
      <c r="D897" s="244"/>
      <c r="E897" s="230" t="s">
        <v>52</v>
      </c>
      <c r="F897" s="9" t="s">
        <v>32</v>
      </c>
      <c r="G897" s="9" t="s">
        <v>33</v>
      </c>
      <c r="H897" s="9"/>
      <c r="I897" s="9"/>
      <c r="J897" s="9" t="s">
        <v>34</v>
      </c>
      <c r="K897" s="9"/>
      <c r="L897" s="9"/>
      <c r="M897" s="257" t="s">
        <v>35</v>
      </c>
      <c r="N897" s="202"/>
      <c r="O897" s="9"/>
      <c r="P897" s="198" t="s">
        <v>22</v>
      </c>
      <c r="Q897" s="198"/>
      <c r="R897" s="596"/>
      <c r="S897" s="596"/>
      <c r="T897" s="596"/>
      <c r="U897" s="596"/>
      <c r="V897" s="596"/>
      <c r="W897" s="596"/>
      <c r="X897" s="596"/>
      <c r="AD897" s="244"/>
      <c r="AE897" s="230" t="s">
        <v>52</v>
      </c>
      <c r="AF897" s="9" t="s">
        <v>32</v>
      </c>
      <c r="AG897" s="9" t="s">
        <v>33</v>
      </c>
      <c r="AH897" s="9"/>
      <c r="AI897" s="9"/>
      <c r="AJ897" s="9" t="s">
        <v>34</v>
      </c>
      <c r="AK897" s="9"/>
      <c r="AL897" s="9"/>
      <c r="AM897" s="257" t="s">
        <v>35</v>
      </c>
      <c r="AN897" s="202"/>
      <c r="AO897" s="9"/>
      <c r="AP897" s="198" t="s">
        <v>22</v>
      </c>
      <c r="AQ897" s="198"/>
      <c r="AR897" s="596"/>
      <c r="AS897" s="596"/>
      <c r="AT897" s="596"/>
      <c r="AU897" s="596"/>
      <c r="AV897" s="596"/>
      <c r="AW897" s="596"/>
      <c r="AX897" s="596"/>
    </row>
    <row r="898" spans="4:50" x14ac:dyDescent="0.3">
      <c r="D898" s="244"/>
      <c r="E898" s="355" t="str">
        <f>IF(OR(M898="",M898=0,J898="",G898=""),"",
(IF(AND(F896=$P$4,M898&lt;=$R$4),$V$4,0)+IF(AND(F896=$P$5,M898&lt;=$R$5),$V$5,0)+IF(AND(F896=$P$6,M898&lt;=$R$6),$V$6,0)+IF(AND(F896=$P$7,M898&lt;=$R$7),$V$7,0))
)</f>
        <v/>
      </c>
      <c r="F898" s="153" t="s">
        <v>302</v>
      </c>
      <c r="G898" s="616"/>
      <c r="H898" s="617"/>
      <c r="I898" s="618"/>
      <c r="J898" s="616"/>
      <c r="K898" s="617"/>
      <c r="L898" s="618"/>
      <c r="M898" s="255"/>
      <c r="N898" s="256"/>
      <c r="O898" s="388"/>
      <c r="P898" s="185">
        <f t="shared" ref="P898" si="1135">IF(F896="",0,1)</f>
        <v>0</v>
      </c>
      <c r="R898" s="185" t="str">
        <f t="shared" ref="R898" si="1136">E898</f>
        <v/>
      </c>
      <c r="S898" s="185" t="str">
        <f t="shared" ref="S898" si="1137">E899</f>
        <v/>
      </c>
      <c r="T898" s="185" t="str">
        <f t="shared" ref="T898" si="1138">E900</f>
        <v/>
      </c>
      <c r="U898" s="185" t="str">
        <f t="shared" ref="U898" si="1139">E901</f>
        <v/>
      </c>
      <c r="V898" s="185" t="str">
        <f t="shared" ref="V898" si="1140">E902</f>
        <v/>
      </c>
      <c r="W898" s="185" t="str">
        <f t="shared" ref="W898" si="1141">E903</f>
        <v/>
      </c>
      <c r="X898" s="185" t="str">
        <f t="shared" ref="X898" si="1142">E904</f>
        <v/>
      </c>
      <c r="AD898" s="244"/>
      <c r="AE898" s="355" t="str">
        <f>IF(OR(AM898="",AM898=0,AJ898="",AG898=""),"",
(IF(AND(AF896=$P$4,AM898&lt;=$R$4),$V$4,0)+IF(AND(AF896=$P$5,AM898&lt;=$R$5),$V$5,0)+IF(AND(AF896=$P$6,AM898&lt;=$R$6),$V$6,0)+IF(AND(AF896=$P$7,AM898&lt;=$R$7),$V$7,0))
)</f>
        <v/>
      </c>
      <c r="AF898" s="153" t="s">
        <v>302</v>
      </c>
      <c r="AG898" s="598"/>
      <c r="AH898" s="599"/>
      <c r="AI898" s="600"/>
      <c r="AJ898" s="598"/>
      <c r="AK898" s="599"/>
      <c r="AL898" s="600"/>
      <c r="AM898" s="384"/>
      <c r="AN898" s="256"/>
      <c r="AO898" s="388"/>
      <c r="AP898" s="185">
        <f t="shared" ref="AP898" si="1143">IF(AF896="",0,1)</f>
        <v>0</v>
      </c>
      <c r="AR898" s="185" t="str">
        <f t="shared" ref="AR898" si="1144">AE898</f>
        <v/>
      </c>
      <c r="AS898" s="185" t="str">
        <f t="shared" ref="AS898" si="1145">AE899</f>
        <v/>
      </c>
      <c r="AT898" s="185" t="str">
        <f t="shared" ref="AT898" si="1146">AE900</f>
        <v/>
      </c>
      <c r="AU898" s="185" t="str">
        <f t="shared" ref="AU898" si="1147">AE901</f>
        <v/>
      </c>
      <c r="AV898" s="185" t="str">
        <f t="shared" ref="AV898" si="1148">AE902</f>
        <v/>
      </c>
      <c r="AW898" s="185" t="str">
        <f t="shared" ref="AW898" si="1149">AE903</f>
        <v/>
      </c>
      <c r="AX898" s="185" t="str">
        <f t="shared" ref="AX898" si="1150">AE904</f>
        <v/>
      </c>
    </row>
    <row r="899" spans="4:50" x14ac:dyDescent="0.3">
      <c r="D899" s="244"/>
      <c r="E899" s="341" t="str">
        <f>IF(OR(M899="",M899=0,J899="",G899=""),"",
(IF(AND(F896=$P$4,M899&lt;=$R$4),$V$4,0)+IF(AND(F896=$P$5,M899&lt;=$R$5),$V$5,0)+IF(AND(F896=$P$6,M899&lt;=$R$6),$V$6,0)+IF(AND(F896=$P$7,M899&lt;=$R$7),$V$7,0))
)</f>
        <v/>
      </c>
      <c r="F899" s="153" t="s">
        <v>303</v>
      </c>
      <c r="G899" s="616"/>
      <c r="H899" s="617"/>
      <c r="I899" s="618"/>
      <c r="J899" s="616"/>
      <c r="K899" s="617"/>
      <c r="L899" s="618"/>
      <c r="M899" s="255"/>
      <c r="N899" s="256"/>
      <c r="O899" s="388"/>
      <c r="AD899" s="244"/>
      <c r="AE899" s="341" t="str">
        <f>IF(OR(AM899="",AM899=0,AJ899="",AG899=""),"",
(IF(AND(AF896=$P$4,AM899&lt;=$R$4),$V$4,0)+IF(AND(AF896=$P$5,AM899&lt;=$R$5),$V$5,0)+IF(AND(AF896=$P$6,AM899&lt;=$R$6),$V$6,0)+IF(AND(AF896=$P$7,AM899&lt;=$R$7),$V$7,0))
)</f>
        <v/>
      </c>
      <c r="AF899" s="153" t="s">
        <v>303</v>
      </c>
      <c r="AG899" s="598"/>
      <c r="AH899" s="599"/>
      <c r="AI899" s="600"/>
      <c r="AJ899" s="598"/>
      <c r="AK899" s="599"/>
      <c r="AL899" s="600"/>
      <c r="AM899" s="384"/>
      <c r="AN899" s="256"/>
      <c r="AO899" s="388"/>
    </row>
    <row r="900" spans="4:50" x14ac:dyDescent="0.3">
      <c r="D900" s="244"/>
      <c r="E900" s="341" t="str">
        <f>IF(OR(M900="",M900=0,J900="",G900=""),"",
(IF(AND(F896=$P$4,M900&lt;=$R$4),$V$4,0)+IF(AND(F896=$P$5,M900&lt;=$R$5),$V$5,0)+IF(AND(F896=$P$6,M900&lt;=$R$6),$V$6,0)+IF(AND(F896=$P$7,M900&lt;=$R$7),$V$7,0))
)</f>
        <v/>
      </c>
      <c r="F900" s="153" t="s">
        <v>304</v>
      </c>
      <c r="G900" s="616"/>
      <c r="H900" s="617"/>
      <c r="I900" s="618"/>
      <c r="J900" s="616"/>
      <c r="K900" s="617"/>
      <c r="L900" s="618"/>
      <c r="M900" s="255"/>
      <c r="N900" s="256"/>
      <c r="O900" s="388"/>
      <c r="AD900" s="244"/>
      <c r="AE900" s="341" t="str">
        <f>IF(OR(AM900="",AM900=0,AJ900="",AG900=""),"",
(IF(AND(AF896=$P$4,AM900&lt;=$R$4),$V$4,0)+IF(AND(AF896=$P$5,AM900&lt;=$R$5),$V$5,0)+IF(AND(AF896=$P$6,AM900&lt;=$R$6),$V$6,0)+IF(AND(AF896=$P$7,AM900&lt;=$R$7),$V$7,0))
)</f>
        <v/>
      </c>
      <c r="AF900" s="153" t="s">
        <v>304</v>
      </c>
      <c r="AG900" s="598"/>
      <c r="AH900" s="599"/>
      <c r="AI900" s="600"/>
      <c r="AJ900" s="598"/>
      <c r="AK900" s="599"/>
      <c r="AL900" s="600"/>
      <c r="AM900" s="384"/>
      <c r="AN900" s="256"/>
      <c r="AO900" s="388"/>
    </row>
    <row r="901" spans="4:50" x14ac:dyDescent="0.3">
      <c r="D901" s="244"/>
      <c r="E901" s="341" t="str">
        <f>IF(OR(M901="",M901=0,J901="",G901=""),"",
(IF(AND(F896=$P$4,M901&lt;=$R$4),$V$4,0)+IF(AND(F896=$P$5,M901&lt;=$R$5),$V$5,0)+IF(AND(F896=$P$6,M901&lt;=$R$6),$V$6,0)+IF(AND(F896=$P$7,M901&lt;=$R$7),$V$7,0))
)</f>
        <v/>
      </c>
      <c r="F901" s="153" t="s">
        <v>305</v>
      </c>
      <c r="G901" s="616"/>
      <c r="H901" s="617"/>
      <c r="I901" s="618"/>
      <c r="J901" s="616"/>
      <c r="K901" s="617"/>
      <c r="L901" s="618"/>
      <c r="M901" s="255"/>
      <c r="N901" s="256"/>
      <c r="O901" s="388"/>
      <c r="AD901" s="244"/>
      <c r="AE901" s="341" t="str">
        <f>IF(OR(AM901="",AM901=0,AJ901="",AG901=""),"",
(IF(AND(AF896=$P$4,AM901&lt;=$R$4),$V$4,0)+IF(AND(AF896=$P$5,AM901&lt;=$R$5),$V$5,0)+IF(AND(AF896=$P$6,AM901&lt;=$R$6),$V$6,0)+IF(AND(AF896=$P$7,AM901&lt;=$R$7),$V$7,0))
)</f>
        <v/>
      </c>
      <c r="AF901" s="153" t="s">
        <v>305</v>
      </c>
      <c r="AG901" s="598"/>
      <c r="AH901" s="599"/>
      <c r="AI901" s="600"/>
      <c r="AJ901" s="598"/>
      <c r="AK901" s="599"/>
      <c r="AL901" s="600"/>
      <c r="AM901" s="384"/>
      <c r="AN901" s="256"/>
      <c r="AO901" s="388"/>
    </row>
    <row r="902" spans="4:50" x14ac:dyDescent="0.3">
      <c r="D902" s="244"/>
      <c r="E902" s="341" t="str">
        <f>IF(OR(M902="",M902=0,J902="",G902=""),"",
(IF(AND(F896=$P$4,M902&lt;=$R$4),$V$4,0)+IF(AND(F896=$P$5,M902&lt;=$R$5),$V$5,0)+IF(AND(F896=$P$6,M902&lt;=$R$6),$V$6,0)+IF(AND(F896=$P$7,M902&lt;=$R$7),$V$7,0))
)</f>
        <v/>
      </c>
      <c r="F902" s="153" t="s">
        <v>306</v>
      </c>
      <c r="G902" s="616"/>
      <c r="H902" s="617"/>
      <c r="I902" s="618"/>
      <c r="J902" s="616"/>
      <c r="K902" s="617"/>
      <c r="L902" s="618"/>
      <c r="M902" s="255"/>
      <c r="N902" s="256"/>
      <c r="O902" s="388"/>
      <c r="AD902" s="244"/>
      <c r="AE902" s="341" t="str">
        <f>IF(OR(AM902="",AM902=0,AJ902="",AG902=""),"",
(IF(AND(AF896=$P$4,AM902&lt;=$R$4),$V$4,0)+IF(AND(AF896=$P$5,AM902&lt;=$R$5),$V$5,0)+IF(AND(AF896=$P$6,AM902&lt;=$R$6),$V$6,0)+IF(AND(AF896=$P$7,AM902&lt;=$R$7),$V$7,0))
)</f>
        <v/>
      </c>
      <c r="AF902" s="153" t="s">
        <v>306</v>
      </c>
      <c r="AG902" s="598"/>
      <c r="AH902" s="599"/>
      <c r="AI902" s="600"/>
      <c r="AJ902" s="598"/>
      <c r="AK902" s="599"/>
      <c r="AL902" s="600"/>
      <c r="AM902" s="384"/>
      <c r="AN902" s="256"/>
      <c r="AO902" s="388"/>
    </row>
    <row r="903" spans="4:50" x14ac:dyDescent="0.3">
      <c r="D903" s="244"/>
      <c r="E903" s="341" t="str">
        <f>IF(OR(M903="",M903=0,J903="",G903=""),"",
(IF(AND(F896=$P$4,M903&lt;=$R$4),$V$4,0)+IF(AND(F896=$P$5,M903&lt;=$R$5),$V$5,0)+IF(AND(F896=$P$6,M903&lt;=$R$6),$V$6,0)+IF(AND(F896=$P$7,M903&lt;=$R$7),$V$7,0))
)</f>
        <v/>
      </c>
      <c r="F903" s="153" t="s">
        <v>307</v>
      </c>
      <c r="G903" s="616"/>
      <c r="H903" s="617"/>
      <c r="I903" s="618"/>
      <c r="J903" s="616"/>
      <c r="K903" s="617"/>
      <c r="L903" s="618"/>
      <c r="M903" s="255"/>
      <c r="N903" s="256"/>
      <c r="O903" s="388"/>
      <c r="AD903" s="244"/>
      <c r="AE903" s="341" t="str">
        <f>IF(OR(AM903="",AM903=0,AJ903="",AG903=""),"",
(IF(AND(AF896=$P$4,AM903&lt;=$R$4),$V$4,0)+IF(AND(AF896=$P$5,AM903&lt;=$R$5),$V$5,0)+IF(AND(AF896=$P$6,AM903&lt;=$R$6),$V$6,0)+IF(AND(AF896=$P$7,AM903&lt;=$R$7),$V$7,0))
)</f>
        <v/>
      </c>
      <c r="AF903" s="153" t="s">
        <v>307</v>
      </c>
      <c r="AG903" s="598"/>
      <c r="AH903" s="599"/>
      <c r="AI903" s="600"/>
      <c r="AJ903" s="598"/>
      <c r="AK903" s="599"/>
      <c r="AL903" s="600"/>
      <c r="AM903" s="384"/>
      <c r="AN903" s="256"/>
      <c r="AO903" s="388"/>
    </row>
    <row r="904" spans="4:50" x14ac:dyDescent="0.3">
      <c r="D904" s="244"/>
      <c r="E904" s="341" t="str">
        <f>IF(OR(M904="",M904=0,J904="",G904=""),"",
(IF(AND(F896=$P$4,M904&lt;=$R$4),$V$4,0)+IF(AND(F896=$P$5,M904&lt;=$R$5),$V$5,0)+IF(AND(F896=$P$6,M904&lt;=$R$6),$V$6,0)+IF(AND(F896=$P$7,M904&lt;=$R$7),$V$7,0))
)</f>
        <v/>
      </c>
      <c r="F904" s="153" t="s">
        <v>308</v>
      </c>
      <c r="G904" s="616"/>
      <c r="H904" s="617"/>
      <c r="I904" s="618"/>
      <c r="J904" s="616"/>
      <c r="K904" s="617"/>
      <c r="L904" s="618"/>
      <c r="M904" s="255"/>
      <c r="N904" s="256"/>
      <c r="O904" s="388"/>
      <c r="AD904" s="244"/>
      <c r="AE904" s="341" t="str">
        <f>IF(OR(AM904="",AM904=0,AJ904="",AG904=""),"",
(IF(AND(AF896=$P$4,AM904&lt;=$R$4),$V$4,0)+IF(AND(AF896=$P$5,AM904&lt;=$R$5),$V$5,0)+IF(AND(AF896=$P$6,AM904&lt;=$R$6),$V$6,0)+IF(AND(AF896=$P$7,AM904&lt;=$R$7),$V$7,0))
)</f>
        <v/>
      </c>
      <c r="AF904" s="153" t="s">
        <v>308</v>
      </c>
      <c r="AG904" s="598"/>
      <c r="AH904" s="599"/>
      <c r="AI904" s="600"/>
      <c r="AJ904" s="598"/>
      <c r="AK904" s="599"/>
      <c r="AL904" s="600"/>
      <c r="AM904" s="384"/>
      <c r="AN904" s="256"/>
      <c r="AO904" s="388"/>
    </row>
    <row r="905" spans="4:50" ht="16.2" thickBot="1" x14ac:dyDescent="0.35">
      <c r="D905" s="203"/>
      <c r="E905" s="3"/>
      <c r="F905" s="3"/>
      <c r="G905" s="3"/>
      <c r="H905" s="3"/>
      <c r="I905" s="3"/>
      <c r="J905" s="3"/>
      <c r="K905" s="3"/>
      <c r="L905" s="3"/>
      <c r="M905" s="3"/>
      <c r="N905" s="204"/>
      <c r="P905" s="2"/>
      <c r="AD905" s="203"/>
      <c r="AE905" s="3"/>
      <c r="AF905" s="3"/>
      <c r="AG905" s="3"/>
      <c r="AH905" s="3"/>
      <c r="AI905" s="3"/>
      <c r="AJ905" s="3"/>
      <c r="AK905" s="3"/>
      <c r="AL905" s="3"/>
      <c r="AM905" s="3"/>
      <c r="AN905" s="204"/>
      <c r="AP905" s="2"/>
    </row>
    <row r="906" spans="4:50" x14ac:dyDescent="0.3">
      <c r="D906" s="601" t="str">
        <f>IF(
OR(
OR(F908=$P$4,F908=$P$5,F908=$P$6,F908=$P$7),AND(G910="",G911="",G912="",G913="",G914="",G915="",G916="",J910="",J911="",J912="",J913="",J914="",J915="",J916="",M910="",M911="",M912="",M913="",M914="",M915="",M916="",K907="",K908="")
),
"",
"A Set-Aside must be selected."
)</f>
        <v/>
      </c>
      <c r="E906" s="602"/>
      <c r="F906" s="602"/>
      <c r="G906" s="602"/>
      <c r="H906" s="602"/>
      <c r="I906" s="602"/>
      <c r="J906" s="602"/>
      <c r="K906" s="602"/>
      <c r="L906" s="602"/>
      <c r="M906" s="602"/>
      <c r="N906" s="603"/>
      <c r="O906" s="2"/>
      <c r="AD906" s="601" t="str">
        <f>IF(
OR(
OR(AF908=$P$4,AF908=$P$5,AF908=$P$6,AF908=$P$7),AND(AG910="",AG911="",AG912="",AG913="",AG914="",AG915="",AG916="",AJ910="",AJ911="",AJ912="",AJ913="",AJ914="",AJ915="",AJ916="",AM910="",AM911="",AM912="",AM913="",AM914="",AM915="",AM916="",AK907="",AK908="")
),
"",
"A Set-Aside must be selected."
)</f>
        <v/>
      </c>
      <c r="AE906" s="602"/>
      <c r="AF906" s="602"/>
      <c r="AG906" s="602"/>
      <c r="AH906" s="602"/>
      <c r="AI906" s="602"/>
      <c r="AJ906" s="602"/>
      <c r="AK906" s="602"/>
      <c r="AL906" s="602"/>
      <c r="AM906" s="602"/>
      <c r="AN906" s="603"/>
      <c r="AO906" s="2"/>
    </row>
    <row r="907" spans="4:50" ht="15.75" customHeight="1" x14ac:dyDescent="0.3">
      <c r="D907" s="199"/>
      <c r="E907" s="9" t="s">
        <v>30</v>
      </c>
      <c r="F907" s="86">
        <f>F895+1</f>
        <v>73</v>
      </c>
      <c r="G907" s="9" t="s">
        <v>175</v>
      </c>
      <c r="H907" s="9"/>
      <c r="I907" s="9"/>
      <c r="J907" s="168" t="s">
        <v>111</v>
      </c>
      <c r="K907" s="148"/>
      <c r="N907" s="200"/>
      <c r="R907" s="596" t="s">
        <v>302</v>
      </c>
      <c r="S907" s="596" t="s">
        <v>303</v>
      </c>
      <c r="T907" s="596" t="s">
        <v>304</v>
      </c>
      <c r="U907" s="596" t="s">
        <v>305</v>
      </c>
      <c r="V907" s="596" t="s">
        <v>306</v>
      </c>
      <c r="W907" s="596" t="s">
        <v>307</v>
      </c>
      <c r="X907" s="596" t="s">
        <v>308</v>
      </c>
      <c r="AD907" s="199"/>
      <c r="AE907" s="9" t="s">
        <v>30</v>
      </c>
      <c r="AF907" s="86">
        <f>AF895+1</f>
        <v>73</v>
      </c>
      <c r="AG907" s="9" t="s">
        <v>175</v>
      </c>
      <c r="AH907" s="9"/>
      <c r="AI907" s="9"/>
      <c r="AJ907" s="168" t="s">
        <v>111</v>
      </c>
      <c r="AK907" s="382"/>
      <c r="AN907" s="200"/>
      <c r="AR907" s="596" t="s">
        <v>302</v>
      </c>
      <c r="AS907" s="596" t="s">
        <v>303</v>
      </c>
      <c r="AT907" s="596" t="s">
        <v>304</v>
      </c>
      <c r="AU907" s="596" t="s">
        <v>305</v>
      </c>
      <c r="AV907" s="596" t="s">
        <v>306</v>
      </c>
      <c r="AW907" s="596" t="s">
        <v>307</v>
      </c>
      <c r="AX907" s="596" t="s">
        <v>308</v>
      </c>
    </row>
    <row r="908" spans="4:50" x14ac:dyDescent="0.3">
      <c r="D908" s="604" t="s">
        <v>31</v>
      </c>
      <c r="E908" s="594"/>
      <c r="F908" s="151"/>
      <c r="G908" s="86" t="str">
        <f>IF(F908=$P$4,$Q$4,IF(F908=$P$5,$Q$5,IF(F908=$P$6,$Q$6,IF(F908=$P$7,Q$7,IF(F908=$P$8,"","")))))</f>
        <v/>
      </c>
      <c r="H908" s="201"/>
      <c r="I908" s="201"/>
      <c r="J908" s="168" t="s">
        <v>112</v>
      </c>
      <c r="K908" s="148"/>
      <c r="N908" s="200"/>
      <c r="R908" s="596"/>
      <c r="S908" s="596"/>
      <c r="T908" s="596"/>
      <c r="U908" s="596"/>
      <c r="V908" s="596"/>
      <c r="W908" s="596"/>
      <c r="X908" s="596"/>
      <c r="AD908" s="604" t="s">
        <v>31</v>
      </c>
      <c r="AE908" s="594"/>
      <c r="AF908" s="383"/>
      <c r="AG908" s="86" t="str">
        <f>IF(AF908=$P$4,$Q$4,IF(AF908=$P$5,$Q$5,IF(AF908=$P$6,$Q$6,IF(AF908=$P$7,AQ$7,IF(AF908=$P$8,"","")))))</f>
        <v/>
      </c>
      <c r="AH908" s="201"/>
      <c r="AI908" s="201"/>
      <c r="AJ908" s="168" t="s">
        <v>112</v>
      </c>
      <c r="AK908" s="382"/>
      <c r="AN908" s="200"/>
      <c r="AR908" s="596"/>
      <c r="AS908" s="596"/>
      <c r="AT908" s="596"/>
      <c r="AU908" s="596"/>
      <c r="AV908" s="596"/>
      <c r="AW908" s="596"/>
      <c r="AX908" s="596"/>
    </row>
    <row r="909" spans="4:50" x14ac:dyDescent="0.3">
      <c r="D909" s="244"/>
      <c r="E909" s="230" t="s">
        <v>52</v>
      </c>
      <c r="F909" s="9" t="s">
        <v>32</v>
      </c>
      <c r="G909" s="9" t="s">
        <v>33</v>
      </c>
      <c r="H909" s="9"/>
      <c r="I909" s="9"/>
      <c r="J909" s="9" t="s">
        <v>34</v>
      </c>
      <c r="K909" s="9"/>
      <c r="L909" s="9"/>
      <c r="M909" s="257" t="s">
        <v>35</v>
      </c>
      <c r="N909" s="202"/>
      <c r="O909" s="9"/>
      <c r="P909" s="198" t="s">
        <v>22</v>
      </c>
      <c r="Q909" s="198"/>
      <c r="R909" s="596"/>
      <c r="S909" s="596"/>
      <c r="T909" s="596"/>
      <c r="U909" s="596"/>
      <c r="V909" s="596"/>
      <c r="W909" s="596"/>
      <c r="X909" s="596"/>
      <c r="AD909" s="244"/>
      <c r="AE909" s="230" t="s">
        <v>52</v>
      </c>
      <c r="AF909" s="9" t="s">
        <v>32</v>
      </c>
      <c r="AG909" s="9" t="s">
        <v>33</v>
      </c>
      <c r="AH909" s="9"/>
      <c r="AI909" s="9"/>
      <c r="AJ909" s="9" t="s">
        <v>34</v>
      </c>
      <c r="AK909" s="9"/>
      <c r="AL909" s="9"/>
      <c r="AM909" s="257" t="s">
        <v>35</v>
      </c>
      <c r="AN909" s="202"/>
      <c r="AO909" s="9"/>
      <c r="AP909" s="198" t="s">
        <v>22</v>
      </c>
      <c r="AQ909" s="198"/>
      <c r="AR909" s="596"/>
      <c r="AS909" s="596"/>
      <c r="AT909" s="596"/>
      <c r="AU909" s="596"/>
      <c r="AV909" s="596"/>
      <c r="AW909" s="596"/>
      <c r="AX909" s="596"/>
    </row>
    <row r="910" spans="4:50" x14ac:dyDescent="0.3">
      <c r="D910" s="244"/>
      <c r="E910" s="355" t="str">
        <f>IF(OR(M910="",M910=0,J910="",G910=""),"",
(IF(AND(F908=$P$4,M910&lt;=$R$4),$V$4,0)+IF(AND(F908=$P$5,M910&lt;=$R$5),$V$5,0)+IF(AND(F908=$P$6,M910&lt;=$R$6),$V$6,0)+IF(AND(F908=$P$7,M910&lt;=$R$7),$V$7,0))
)</f>
        <v/>
      </c>
      <c r="F910" s="153" t="s">
        <v>302</v>
      </c>
      <c r="G910" s="616"/>
      <c r="H910" s="617"/>
      <c r="I910" s="618"/>
      <c r="J910" s="616"/>
      <c r="K910" s="617"/>
      <c r="L910" s="618"/>
      <c r="M910" s="255"/>
      <c r="N910" s="256"/>
      <c r="O910" s="388"/>
      <c r="P910" s="185">
        <f t="shared" ref="P910" si="1151">IF(F908="",0,1)</f>
        <v>0</v>
      </c>
      <c r="R910" s="185" t="str">
        <f t="shared" ref="R910" si="1152">E910</f>
        <v/>
      </c>
      <c r="S910" s="185" t="str">
        <f t="shared" ref="S910" si="1153">E911</f>
        <v/>
      </c>
      <c r="T910" s="185" t="str">
        <f t="shared" ref="T910" si="1154">E912</f>
        <v/>
      </c>
      <c r="U910" s="185" t="str">
        <f t="shared" ref="U910" si="1155">E913</f>
        <v/>
      </c>
      <c r="V910" s="185" t="str">
        <f t="shared" ref="V910" si="1156">E914</f>
        <v/>
      </c>
      <c r="W910" s="185" t="str">
        <f t="shared" ref="W910" si="1157">E915</f>
        <v/>
      </c>
      <c r="X910" s="185" t="str">
        <f t="shared" ref="X910" si="1158">E916</f>
        <v/>
      </c>
      <c r="AD910" s="244"/>
      <c r="AE910" s="355" t="str">
        <f>IF(OR(AM910="",AM910=0,AJ910="",AG910=""),"",
(IF(AND(AF908=$P$4,AM910&lt;=$R$4),$V$4,0)+IF(AND(AF908=$P$5,AM910&lt;=$R$5),$V$5,0)+IF(AND(AF908=$P$6,AM910&lt;=$R$6),$V$6,0)+IF(AND(AF908=$P$7,AM910&lt;=$R$7),$V$7,0))
)</f>
        <v/>
      </c>
      <c r="AF910" s="153" t="s">
        <v>302</v>
      </c>
      <c r="AG910" s="598"/>
      <c r="AH910" s="599"/>
      <c r="AI910" s="600"/>
      <c r="AJ910" s="598"/>
      <c r="AK910" s="599"/>
      <c r="AL910" s="600"/>
      <c r="AM910" s="384"/>
      <c r="AN910" s="256"/>
      <c r="AO910" s="388"/>
      <c r="AP910" s="185">
        <f t="shared" ref="AP910" si="1159">IF(AF908="",0,1)</f>
        <v>0</v>
      </c>
      <c r="AR910" s="185" t="str">
        <f t="shared" ref="AR910" si="1160">AE910</f>
        <v/>
      </c>
      <c r="AS910" s="185" t="str">
        <f t="shared" ref="AS910" si="1161">AE911</f>
        <v/>
      </c>
      <c r="AT910" s="185" t="str">
        <f t="shared" ref="AT910" si="1162">AE912</f>
        <v/>
      </c>
      <c r="AU910" s="185" t="str">
        <f t="shared" ref="AU910" si="1163">AE913</f>
        <v/>
      </c>
      <c r="AV910" s="185" t="str">
        <f t="shared" ref="AV910" si="1164">AE914</f>
        <v/>
      </c>
      <c r="AW910" s="185" t="str">
        <f t="shared" ref="AW910" si="1165">AE915</f>
        <v/>
      </c>
      <c r="AX910" s="185" t="str">
        <f t="shared" ref="AX910" si="1166">AE916</f>
        <v/>
      </c>
    </row>
    <row r="911" spans="4:50" x14ac:dyDescent="0.3">
      <c r="D911" s="244"/>
      <c r="E911" s="341" t="str">
        <f>IF(OR(M911="",M911=0,J911="",G911=""),"",
(IF(AND(F908=$P$4,M911&lt;=$R$4),$V$4,0)+IF(AND(F908=$P$5,M911&lt;=$R$5),$V$5,0)+IF(AND(F908=$P$6,M911&lt;=$R$6),$V$6,0)+IF(AND(F908=$P$7,M911&lt;=$R$7),$V$7,0))
)</f>
        <v/>
      </c>
      <c r="F911" s="153" t="s">
        <v>303</v>
      </c>
      <c r="G911" s="616"/>
      <c r="H911" s="617"/>
      <c r="I911" s="618"/>
      <c r="J911" s="616"/>
      <c r="K911" s="617"/>
      <c r="L911" s="618"/>
      <c r="M911" s="255"/>
      <c r="N911" s="256"/>
      <c r="O911" s="388"/>
      <c r="AD911" s="244"/>
      <c r="AE911" s="341" t="str">
        <f>IF(OR(AM911="",AM911=0,AJ911="",AG911=""),"",
(IF(AND(AF908=$P$4,AM911&lt;=$R$4),$V$4,0)+IF(AND(AF908=$P$5,AM911&lt;=$R$5),$V$5,0)+IF(AND(AF908=$P$6,AM911&lt;=$R$6),$V$6,0)+IF(AND(AF908=$P$7,AM911&lt;=$R$7),$V$7,0))
)</f>
        <v/>
      </c>
      <c r="AF911" s="153" t="s">
        <v>303</v>
      </c>
      <c r="AG911" s="598"/>
      <c r="AH911" s="599"/>
      <c r="AI911" s="600"/>
      <c r="AJ911" s="598"/>
      <c r="AK911" s="599"/>
      <c r="AL911" s="600"/>
      <c r="AM911" s="384"/>
      <c r="AN911" s="256"/>
      <c r="AO911" s="388"/>
    </row>
    <row r="912" spans="4:50" x14ac:dyDescent="0.3">
      <c r="D912" s="244"/>
      <c r="E912" s="341" t="str">
        <f>IF(OR(M912="",M912=0,J912="",G912=""),"",
(IF(AND(F908=$P$4,M912&lt;=$R$4),$V$4,0)+IF(AND(F908=$P$5,M912&lt;=$R$5),$V$5,0)+IF(AND(F908=$P$6,M912&lt;=$R$6),$V$6,0)+IF(AND(F908=$P$7,M912&lt;=$R$7),$V$7,0))
)</f>
        <v/>
      </c>
      <c r="F912" s="153" t="s">
        <v>304</v>
      </c>
      <c r="G912" s="616"/>
      <c r="H912" s="617"/>
      <c r="I912" s="618"/>
      <c r="J912" s="616"/>
      <c r="K912" s="617"/>
      <c r="L912" s="618"/>
      <c r="M912" s="255"/>
      <c r="N912" s="256"/>
      <c r="O912" s="388"/>
      <c r="AD912" s="244"/>
      <c r="AE912" s="341" t="str">
        <f>IF(OR(AM912="",AM912=0,AJ912="",AG912=""),"",
(IF(AND(AF908=$P$4,AM912&lt;=$R$4),$V$4,0)+IF(AND(AF908=$P$5,AM912&lt;=$R$5),$V$5,0)+IF(AND(AF908=$P$6,AM912&lt;=$R$6),$V$6,0)+IF(AND(AF908=$P$7,AM912&lt;=$R$7),$V$7,0))
)</f>
        <v/>
      </c>
      <c r="AF912" s="153" t="s">
        <v>304</v>
      </c>
      <c r="AG912" s="598"/>
      <c r="AH912" s="599"/>
      <c r="AI912" s="600"/>
      <c r="AJ912" s="598"/>
      <c r="AK912" s="599"/>
      <c r="AL912" s="600"/>
      <c r="AM912" s="384"/>
      <c r="AN912" s="256"/>
      <c r="AO912" s="388"/>
    </row>
    <row r="913" spans="4:50" x14ac:dyDescent="0.3">
      <c r="D913" s="244"/>
      <c r="E913" s="341" t="str">
        <f>IF(OR(M913="",M913=0,J913="",G913=""),"",
(IF(AND(F908=$P$4,M913&lt;=$R$4),$V$4,0)+IF(AND(F908=$P$5,M913&lt;=$R$5),$V$5,0)+IF(AND(F908=$P$6,M913&lt;=$R$6),$V$6,0)+IF(AND(F908=$P$7,M913&lt;=$R$7),$V$7,0))
)</f>
        <v/>
      </c>
      <c r="F913" s="153" t="s">
        <v>305</v>
      </c>
      <c r="G913" s="616"/>
      <c r="H913" s="617"/>
      <c r="I913" s="618"/>
      <c r="J913" s="616"/>
      <c r="K913" s="617"/>
      <c r="L913" s="618"/>
      <c r="M913" s="255"/>
      <c r="N913" s="256"/>
      <c r="O913" s="388"/>
      <c r="AD913" s="244"/>
      <c r="AE913" s="341" t="str">
        <f>IF(OR(AM913="",AM913=0,AJ913="",AG913=""),"",
(IF(AND(AF908=$P$4,AM913&lt;=$R$4),$V$4,0)+IF(AND(AF908=$P$5,AM913&lt;=$R$5),$V$5,0)+IF(AND(AF908=$P$6,AM913&lt;=$R$6),$V$6,0)+IF(AND(AF908=$P$7,AM913&lt;=$R$7),$V$7,0))
)</f>
        <v/>
      </c>
      <c r="AF913" s="153" t="s">
        <v>305</v>
      </c>
      <c r="AG913" s="598"/>
      <c r="AH913" s="599"/>
      <c r="AI913" s="600"/>
      <c r="AJ913" s="598"/>
      <c r="AK913" s="599"/>
      <c r="AL913" s="600"/>
      <c r="AM913" s="384"/>
      <c r="AN913" s="256"/>
      <c r="AO913" s="388"/>
    </row>
    <row r="914" spans="4:50" x14ac:dyDescent="0.3">
      <c r="D914" s="244"/>
      <c r="E914" s="341" t="str">
        <f>IF(OR(M914="",M914=0,J914="",G914=""),"",
(IF(AND(F908=$P$4,M914&lt;=$R$4),$V$4,0)+IF(AND(F908=$P$5,M914&lt;=$R$5),$V$5,0)+IF(AND(F908=$P$6,M914&lt;=$R$6),$V$6,0)+IF(AND(F908=$P$7,M914&lt;=$R$7),$V$7,0))
)</f>
        <v/>
      </c>
      <c r="F914" s="153" t="s">
        <v>306</v>
      </c>
      <c r="G914" s="616"/>
      <c r="H914" s="617"/>
      <c r="I914" s="618"/>
      <c r="J914" s="616"/>
      <c r="K914" s="617"/>
      <c r="L914" s="618"/>
      <c r="M914" s="255"/>
      <c r="N914" s="256"/>
      <c r="O914" s="388"/>
      <c r="AD914" s="244"/>
      <c r="AE914" s="341" t="str">
        <f>IF(OR(AM914="",AM914=0,AJ914="",AG914=""),"",
(IF(AND(AF908=$P$4,AM914&lt;=$R$4),$V$4,0)+IF(AND(AF908=$P$5,AM914&lt;=$R$5),$V$5,0)+IF(AND(AF908=$P$6,AM914&lt;=$R$6),$V$6,0)+IF(AND(AF908=$P$7,AM914&lt;=$R$7),$V$7,0))
)</f>
        <v/>
      </c>
      <c r="AF914" s="153" t="s">
        <v>306</v>
      </c>
      <c r="AG914" s="598"/>
      <c r="AH914" s="599"/>
      <c r="AI914" s="600"/>
      <c r="AJ914" s="598"/>
      <c r="AK914" s="599"/>
      <c r="AL914" s="600"/>
      <c r="AM914" s="384"/>
      <c r="AN914" s="256"/>
      <c r="AO914" s="388"/>
    </row>
    <row r="915" spans="4:50" x14ac:dyDescent="0.3">
      <c r="D915" s="244"/>
      <c r="E915" s="341" t="str">
        <f>IF(OR(M915="",M915=0,J915="",G915=""),"",
(IF(AND(F908=$P$4,M915&lt;=$R$4),$V$4,0)+IF(AND(F908=$P$5,M915&lt;=$R$5),$V$5,0)+IF(AND(F908=$P$6,M915&lt;=$R$6),$V$6,0)+IF(AND(F908=$P$7,M915&lt;=$R$7),$V$7,0))
)</f>
        <v/>
      </c>
      <c r="F915" s="153" t="s">
        <v>307</v>
      </c>
      <c r="G915" s="616"/>
      <c r="H915" s="617"/>
      <c r="I915" s="618"/>
      <c r="J915" s="616"/>
      <c r="K915" s="617"/>
      <c r="L915" s="618"/>
      <c r="M915" s="255"/>
      <c r="N915" s="256"/>
      <c r="O915" s="388"/>
      <c r="AD915" s="244"/>
      <c r="AE915" s="341" t="str">
        <f>IF(OR(AM915="",AM915=0,AJ915="",AG915=""),"",
(IF(AND(AF908=$P$4,AM915&lt;=$R$4),$V$4,0)+IF(AND(AF908=$P$5,AM915&lt;=$R$5),$V$5,0)+IF(AND(AF908=$P$6,AM915&lt;=$R$6),$V$6,0)+IF(AND(AF908=$P$7,AM915&lt;=$R$7),$V$7,0))
)</f>
        <v/>
      </c>
      <c r="AF915" s="153" t="s">
        <v>307</v>
      </c>
      <c r="AG915" s="598"/>
      <c r="AH915" s="599"/>
      <c r="AI915" s="600"/>
      <c r="AJ915" s="598"/>
      <c r="AK915" s="599"/>
      <c r="AL915" s="600"/>
      <c r="AM915" s="384"/>
      <c r="AN915" s="256"/>
      <c r="AO915" s="388"/>
    </row>
    <row r="916" spans="4:50" x14ac:dyDescent="0.3">
      <c r="D916" s="244"/>
      <c r="E916" s="341" t="str">
        <f>IF(OR(M916="",M916=0,J916="",G916=""),"",
(IF(AND(F908=$P$4,M916&lt;=$R$4),$V$4,0)+IF(AND(F908=$P$5,M916&lt;=$R$5),$V$5,0)+IF(AND(F908=$P$6,M916&lt;=$R$6),$V$6,0)+IF(AND(F908=$P$7,M916&lt;=$R$7),$V$7,0))
)</f>
        <v/>
      </c>
      <c r="F916" s="153" t="s">
        <v>308</v>
      </c>
      <c r="G916" s="616"/>
      <c r="H916" s="617"/>
      <c r="I916" s="618"/>
      <c r="J916" s="616"/>
      <c r="K916" s="617"/>
      <c r="L916" s="618"/>
      <c r="M916" s="255"/>
      <c r="N916" s="256"/>
      <c r="O916" s="388"/>
      <c r="AD916" s="244"/>
      <c r="AE916" s="341" t="str">
        <f>IF(OR(AM916="",AM916=0,AJ916="",AG916=""),"",
(IF(AND(AF908=$P$4,AM916&lt;=$R$4),$V$4,0)+IF(AND(AF908=$P$5,AM916&lt;=$R$5),$V$5,0)+IF(AND(AF908=$P$6,AM916&lt;=$R$6),$V$6,0)+IF(AND(AF908=$P$7,AM916&lt;=$R$7),$V$7,0))
)</f>
        <v/>
      </c>
      <c r="AF916" s="153" t="s">
        <v>308</v>
      </c>
      <c r="AG916" s="598"/>
      <c r="AH916" s="599"/>
      <c r="AI916" s="600"/>
      <c r="AJ916" s="598"/>
      <c r="AK916" s="599"/>
      <c r="AL916" s="600"/>
      <c r="AM916" s="384"/>
      <c r="AN916" s="256"/>
      <c r="AO916" s="388"/>
    </row>
    <row r="917" spans="4:50" ht="16.2" thickBot="1" x14ac:dyDescent="0.35">
      <c r="D917" s="203"/>
      <c r="E917" s="3"/>
      <c r="F917" s="3"/>
      <c r="G917" s="3"/>
      <c r="H917" s="3"/>
      <c r="I917" s="3"/>
      <c r="J917" s="3"/>
      <c r="K917" s="3"/>
      <c r="L917" s="3"/>
      <c r="M917" s="3"/>
      <c r="N917" s="204"/>
      <c r="P917" s="2"/>
      <c r="AD917" s="203"/>
      <c r="AE917" s="3"/>
      <c r="AF917" s="3"/>
      <c r="AG917" s="3"/>
      <c r="AH917" s="3"/>
      <c r="AI917" s="3"/>
      <c r="AJ917" s="3"/>
      <c r="AK917" s="3"/>
      <c r="AL917" s="3"/>
      <c r="AM917" s="3"/>
      <c r="AN917" s="204"/>
      <c r="AP917" s="2"/>
    </row>
    <row r="918" spans="4:50" x14ac:dyDescent="0.3">
      <c r="D918" s="601" t="str">
        <f>IF(
OR(
OR(F920=$P$4,F920=$P$5,F920=$P$6,F920=$P$7),AND(G922="",G923="",G924="",G925="",G926="",G927="",G928="",J922="",J923="",J924="",J925="",J926="",J927="",J928="",M922="",M923="",M924="",M925="",M926="",M927="",M928="",K919="",K920="")
),
"",
"A Set-Aside must be selected."
)</f>
        <v/>
      </c>
      <c r="E918" s="602"/>
      <c r="F918" s="602"/>
      <c r="G918" s="602"/>
      <c r="H918" s="602"/>
      <c r="I918" s="602"/>
      <c r="J918" s="602"/>
      <c r="K918" s="602"/>
      <c r="L918" s="602"/>
      <c r="M918" s="602"/>
      <c r="N918" s="603"/>
      <c r="O918" s="2"/>
      <c r="AD918" s="601" t="str">
        <f>IF(
OR(
OR(AF920=$P$4,AF920=$P$5,AF920=$P$6,AF920=$P$7),AND(AG922="",AG923="",AG924="",AG925="",AG926="",AG927="",AG928="",AJ922="",AJ923="",AJ924="",AJ925="",AJ926="",AJ927="",AJ928="",AM922="",AM923="",AM924="",AM925="",AM926="",AM927="",AM928="",AK919="",AK920="")
),
"",
"A Set-Aside must be selected."
)</f>
        <v/>
      </c>
      <c r="AE918" s="602"/>
      <c r="AF918" s="602"/>
      <c r="AG918" s="602"/>
      <c r="AH918" s="602"/>
      <c r="AI918" s="602"/>
      <c r="AJ918" s="602"/>
      <c r="AK918" s="602"/>
      <c r="AL918" s="602"/>
      <c r="AM918" s="602"/>
      <c r="AN918" s="603"/>
      <c r="AO918" s="2"/>
    </row>
    <row r="919" spans="4:50" ht="15.75" customHeight="1" x14ac:dyDescent="0.3">
      <c r="D919" s="199"/>
      <c r="E919" s="9" t="s">
        <v>30</v>
      </c>
      <c r="F919" s="86">
        <f>F907+1</f>
        <v>74</v>
      </c>
      <c r="G919" s="9" t="s">
        <v>175</v>
      </c>
      <c r="H919" s="9"/>
      <c r="I919" s="9"/>
      <c r="J919" s="168" t="s">
        <v>111</v>
      </c>
      <c r="K919" s="148"/>
      <c r="N919" s="200"/>
      <c r="R919" s="596" t="s">
        <v>302</v>
      </c>
      <c r="S919" s="596" t="s">
        <v>303</v>
      </c>
      <c r="T919" s="596" t="s">
        <v>304</v>
      </c>
      <c r="U919" s="596" t="s">
        <v>305</v>
      </c>
      <c r="V919" s="596" t="s">
        <v>306</v>
      </c>
      <c r="W919" s="596" t="s">
        <v>307</v>
      </c>
      <c r="X919" s="596" t="s">
        <v>308</v>
      </c>
      <c r="AD919" s="199"/>
      <c r="AE919" s="9" t="s">
        <v>30</v>
      </c>
      <c r="AF919" s="86">
        <f>AF907+1</f>
        <v>74</v>
      </c>
      <c r="AG919" s="9" t="s">
        <v>175</v>
      </c>
      <c r="AH919" s="9"/>
      <c r="AI919" s="9"/>
      <c r="AJ919" s="168" t="s">
        <v>111</v>
      </c>
      <c r="AK919" s="382"/>
      <c r="AN919" s="200"/>
      <c r="AR919" s="596" t="s">
        <v>302</v>
      </c>
      <c r="AS919" s="596" t="s">
        <v>303</v>
      </c>
      <c r="AT919" s="596" t="s">
        <v>304</v>
      </c>
      <c r="AU919" s="596" t="s">
        <v>305</v>
      </c>
      <c r="AV919" s="596" t="s">
        <v>306</v>
      </c>
      <c r="AW919" s="596" t="s">
        <v>307</v>
      </c>
      <c r="AX919" s="596" t="s">
        <v>308</v>
      </c>
    </row>
    <row r="920" spans="4:50" x14ac:dyDescent="0.3">
      <c r="D920" s="604" t="s">
        <v>31</v>
      </c>
      <c r="E920" s="594"/>
      <c r="F920" s="151"/>
      <c r="G920" s="86" t="str">
        <f>IF(F920=$P$4,$Q$4,IF(F920=$P$5,$Q$5,IF(F920=$P$6,$Q$6,IF(F920=$P$7,Q$7,IF(F920=$P$8,"","")))))</f>
        <v/>
      </c>
      <c r="H920" s="201"/>
      <c r="I920" s="201"/>
      <c r="J920" s="168" t="s">
        <v>112</v>
      </c>
      <c r="K920" s="148"/>
      <c r="N920" s="200"/>
      <c r="R920" s="596"/>
      <c r="S920" s="596"/>
      <c r="T920" s="596"/>
      <c r="U920" s="596"/>
      <c r="V920" s="596"/>
      <c r="W920" s="596"/>
      <c r="X920" s="596"/>
      <c r="AD920" s="604" t="s">
        <v>31</v>
      </c>
      <c r="AE920" s="594"/>
      <c r="AF920" s="383"/>
      <c r="AG920" s="86" t="str">
        <f>IF(AF920=$P$4,$Q$4,IF(AF920=$P$5,$Q$5,IF(AF920=$P$6,$Q$6,IF(AF920=$P$7,AQ$7,IF(AF920=$P$8,"","")))))</f>
        <v/>
      </c>
      <c r="AH920" s="201"/>
      <c r="AI920" s="201"/>
      <c r="AJ920" s="168" t="s">
        <v>112</v>
      </c>
      <c r="AK920" s="382"/>
      <c r="AN920" s="200"/>
      <c r="AR920" s="596"/>
      <c r="AS920" s="596"/>
      <c r="AT920" s="596"/>
      <c r="AU920" s="596"/>
      <c r="AV920" s="596"/>
      <c r="AW920" s="596"/>
      <c r="AX920" s="596"/>
    </row>
    <row r="921" spans="4:50" x14ac:dyDescent="0.3">
      <c r="D921" s="244"/>
      <c r="E921" s="230" t="s">
        <v>52</v>
      </c>
      <c r="F921" s="9" t="s">
        <v>32</v>
      </c>
      <c r="G921" s="9" t="s">
        <v>33</v>
      </c>
      <c r="H921" s="9"/>
      <c r="I921" s="9"/>
      <c r="J921" s="9" t="s">
        <v>34</v>
      </c>
      <c r="K921" s="9"/>
      <c r="L921" s="9"/>
      <c r="M921" s="257" t="s">
        <v>35</v>
      </c>
      <c r="N921" s="202"/>
      <c r="O921" s="9"/>
      <c r="P921" s="198" t="s">
        <v>22</v>
      </c>
      <c r="Q921" s="198"/>
      <c r="R921" s="596"/>
      <c r="S921" s="596"/>
      <c r="T921" s="596"/>
      <c r="U921" s="596"/>
      <c r="V921" s="596"/>
      <c r="W921" s="596"/>
      <c r="X921" s="596"/>
      <c r="AD921" s="244"/>
      <c r="AE921" s="230" t="s">
        <v>52</v>
      </c>
      <c r="AF921" s="9" t="s">
        <v>32</v>
      </c>
      <c r="AG921" s="9" t="s">
        <v>33</v>
      </c>
      <c r="AH921" s="9"/>
      <c r="AI921" s="9"/>
      <c r="AJ921" s="9" t="s">
        <v>34</v>
      </c>
      <c r="AK921" s="9"/>
      <c r="AL921" s="9"/>
      <c r="AM921" s="257" t="s">
        <v>35</v>
      </c>
      <c r="AN921" s="202"/>
      <c r="AO921" s="9"/>
      <c r="AP921" s="198" t="s">
        <v>22</v>
      </c>
      <c r="AQ921" s="198"/>
      <c r="AR921" s="596"/>
      <c r="AS921" s="596"/>
      <c r="AT921" s="596"/>
      <c r="AU921" s="596"/>
      <c r="AV921" s="596"/>
      <c r="AW921" s="596"/>
      <c r="AX921" s="596"/>
    </row>
    <row r="922" spans="4:50" x14ac:dyDescent="0.3">
      <c r="D922" s="244"/>
      <c r="E922" s="355" t="str">
        <f>IF(OR(M922="",M922=0,J922="",G922=""),"",
(IF(AND(F920=$P$4,M922&lt;=$R$4),$V$4,0)+IF(AND(F920=$P$5,M922&lt;=$R$5),$V$5,0)+IF(AND(F920=$P$6,M922&lt;=$R$6),$V$6,0)+IF(AND(F920=$P$7,M922&lt;=$R$7),$V$7,0))
)</f>
        <v/>
      </c>
      <c r="F922" s="153" t="s">
        <v>302</v>
      </c>
      <c r="G922" s="616"/>
      <c r="H922" s="617"/>
      <c r="I922" s="618"/>
      <c r="J922" s="616"/>
      <c r="K922" s="617"/>
      <c r="L922" s="618"/>
      <c r="M922" s="255"/>
      <c r="N922" s="256"/>
      <c r="O922" s="388"/>
      <c r="P922" s="185">
        <f t="shared" ref="P922" si="1167">IF(F920="",0,1)</f>
        <v>0</v>
      </c>
      <c r="R922" s="185" t="str">
        <f t="shared" ref="R922" si="1168">E922</f>
        <v/>
      </c>
      <c r="S922" s="185" t="str">
        <f t="shared" ref="S922" si="1169">E923</f>
        <v/>
      </c>
      <c r="T922" s="185" t="str">
        <f t="shared" ref="T922" si="1170">E924</f>
        <v/>
      </c>
      <c r="U922" s="185" t="str">
        <f t="shared" ref="U922" si="1171">E925</f>
        <v/>
      </c>
      <c r="V922" s="185" t="str">
        <f t="shared" ref="V922" si="1172">E926</f>
        <v/>
      </c>
      <c r="W922" s="185" t="str">
        <f t="shared" ref="W922" si="1173">E927</f>
        <v/>
      </c>
      <c r="X922" s="185" t="str">
        <f t="shared" ref="X922" si="1174">E928</f>
        <v/>
      </c>
      <c r="AD922" s="244"/>
      <c r="AE922" s="355" t="str">
        <f>IF(OR(AM922="",AM922=0,AJ922="",AG922=""),"",
(IF(AND(AF920=$P$4,AM922&lt;=$R$4),$V$4,0)+IF(AND(AF920=$P$5,AM922&lt;=$R$5),$V$5,0)+IF(AND(AF920=$P$6,AM922&lt;=$R$6),$V$6,0)+IF(AND(AF920=$P$7,AM922&lt;=$R$7),$V$7,0))
)</f>
        <v/>
      </c>
      <c r="AF922" s="153" t="s">
        <v>302</v>
      </c>
      <c r="AG922" s="598"/>
      <c r="AH922" s="599"/>
      <c r="AI922" s="600"/>
      <c r="AJ922" s="598"/>
      <c r="AK922" s="599"/>
      <c r="AL922" s="600"/>
      <c r="AM922" s="384"/>
      <c r="AN922" s="256"/>
      <c r="AO922" s="388"/>
      <c r="AP922" s="185">
        <f t="shared" ref="AP922" si="1175">IF(AF920="",0,1)</f>
        <v>0</v>
      </c>
      <c r="AR922" s="185" t="str">
        <f t="shared" ref="AR922" si="1176">AE922</f>
        <v/>
      </c>
      <c r="AS922" s="185" t="str">
        <f t="shared" ref="AS922" si="1177">AE923</f>
        <v/>
      </c>
      <c r="AT922" s="185" t="str">
        <f t="shared" ref="AT922" si="1178">AE924</f>
        <v/>
      </c>
      <c r="AU922" s="185" t="str">
        <f t="shared" ref="AU922" si="1179">AE925</f>
        <v/>
      </c>
      <c r="AV922" s="185" t="str">
        <f t="shared" ref="AV922" si="1180">AE926</f>
        <v/>
      </c>
      <c r="AW922" s="185" t="str">
        <f t="shared" ref="AW922" si="1181">AE927</f>
        <v/>
      </c>
      <c r="AX922" s="185" t="str">
        <f t="shared" ref="AX922" si="1182">AE928</f>
        <v/>
      </c>
    </row>
    <row r="923" spans="4:50" x14ac:dyDescent="0.3">
      <c r="D923" s="244"/>
      <c r="E923" s="341" t="str">
        <f>IF(OR(M923="",M923=0,J923="",G923=""),"",
(IF(AND(F920=$P$4,M923&lt;=$R$4),$V$4,0)+IF(AND(F920=$P$5,M923&lt;=$R$5),$V$5,0)+IF(AND(F920=$P$6,M923&lt;=$R$6),$V$6,0)+IF(AND(F920=$P$7,M923&lt;=$R$7),$V$7,0))
)</f>
        <v/>
      </c>
      <c r="F923" s="153" t="s">
        <v>303</v>
      </c>
      <c r="G923" s="616"/>
      <c r="H923" s="617"/>
      <c r="I923" s="618"/>
      <c r="J923" s="616"/>
      <c r="K923" s="617"/>
      <c r="L923" s="618"/>
      <c r="M923" s="255"/>
      <c r="N923" s="256"/>
      <c r="O923" s="388"/>
      <c r="AD923" s="244"/>
      <c r="AE923" s="341" t="str">
        <f>IF(OR(AM923="",AM923=0,AJ923="",AG923=""),"",
(IF(AND(AF920=$P$4,AM923&lt;=$R$4),$V$4,0)+IF(AND(AF920=$P$5,AM923&lt;=$R$5),$V$5,0)+IF(AND(AF920=$P$6,AM923&lt;=$R$6),$V$6,0)+IF(AND(AF920=$P$7,AM923&lt;=$R$7),$V$7,0))
)</f>
        <v/>
      </c>
      <c r="AF923" s="153" t="s">
        <v>303</v>
      </c>
      <c r="AG923" s="598"/>
      <c r="AH923" s="599"/>
      <c r="AI923" s="600"/>
      <c r="AJ923" s="598"/>
      <c r="AK923" s="599"/>
      <c r="AL923" s="600"/>
      <c r="AM923" s="384"/>
      <c r="AN923" s="256"/>
      <c r="AO923" s="388"/>
    </row>
    <row r="924" spans="4:50" x14ac:dyDescent="0.3">
      <c r="D924" s="244"/>
      <c r="E924" s="341" t="str">
        <f>IF(OR(M924="",M924=0,J924="",G924=""),"",
(IF(AND(F920=$P$4,M924&lt;=$R$4),$V$4,0)+IF(AND(F920=$P$5,M924&lt;=$R$5),$V$5,0)+IF(AND(F920=$P$6,M924&lt;=$R$6),$V$6,0)+IF(AND(F920=$P$7,M924&lt;=$R$7),$V$7,0))
)</f>
        <v/>
      </c>
      <c r="F924" s="153" t="s">
        <v>304</v>
      </c>
      <c r="G924" s="616"/>
      <c r="H924" s="617"/>
      <c r="I924" s="618"/>
      <c r="J924" s="616"/>
      <c r="K924" s="617"/>
      <c r="L924" s="618"/>
      <c r="M924" s="255"/>
      <c r="N924" s="256"/>
      <c r="O924" s="388"/>
      <c r="AD924" s="244"/>
      <c r="AE924" s="341" t="str">
        <f>IF(OR(AM924="",AM924=0,AJ924="",AG924=""),"",
(IF(AND(AF920=$P$4,AM924&lt;=$R$4),$V$4,0)+IF(AND(AF920=$P$5,AM924&lt;=$R$5),$V$5,0)+IF(AND(AF920=$P$6,AM924&lt;=$R$6),$V$6,0)+IF(AND(AF920=$P$7,AM924&lt;=$R$7),$V$7,0))
)</f>
        <v/>
      </c>
      <c r="AF924" s="153" t="s">
        <v>304</v>
      </c>
      <c r="AG924" s="598"/>
      <c r="AH924" s="599"/>
      <c r="AI924" s="600"/>
      <c r="AJ924" s="598"/>
      <c r="AK924" s="599"/>
      <c r="AL924" s="600"/>
      <c r="AM924" s="384"/>
      <c r="AN924" s="256"/>
      <c r="AO924" s="388"/>
    </row>
    <row r="925" spans="4:50" x14ac:dyDescent="0.3">
      <c r="D925" s="244"/>
      <c r="E925" s="341" t="str">
        <f>IF(OR(M925="",M925=0,J925="",G925=""),"",
(IF(AND(F920=$P$4,M925&lt;=$R$4),$V$4,0)+IF(AND(F920=$P$5,M925&lt;=$R$5),$V$5,0)+IF(AND(F920=$P$6,M925&lt;=$R$6),$V$6,0)+IF(AND(F920=$P$7,M925&lt;=$R$7),$V$7,0))
)</f>
        <v/>
      </c>
      <c r="F925" s="153" t="s">
        <v>305</v>
      </c>
      <c r="G925" s="616"/>
      <c r="H925" s="617"/>
      <c r="I925" s="618"/>
      <c r="J925" s="616"/>
      <c r="K925" s="617"/>
      <c r="L925" s="618"/>
      <c r="M925" s="255"/>
      <c r="N925" s="256"/>
      <c r="O925" s="388"/>
      <c r="AD925" s="244"/>
      <c r="AE925" s="341" t="str">
        <f>IF(OR(AM925="",AM925=0,AJ925="",AG925=""),"",
(IF(AND(AF920=$P$4,AM925&lt;=$R$4),$V$4,0)+IF(AND(AF920=$P$5,AM925&lt;=$R$5),$V$5,0)+IF(AND(AF920=$P$6,AM925&lt;=$R$6),$V$6,0)+IF(AND(AF920=$P$7,AM925&lt;=$R$7),$V$7,0))
)</f>
        <v/>
      </c>
      <c r="AF925" s="153" t="s">
        <v>305</v>
      </c>
      <c r="AG925" s="598"/>
      <c r="AH925" s="599"/>
      <c r="AI925" s="600"/>
      <c r="AJ925" s="598"/>
      <c r="AK925" s="599"/>
      <c r="AL925" s="600"/>
      <c r="AM925" s="384"/>
      <c r="AN925" s="256"/>
      <c r="AO925" s="388"/>
    </row>
    <row r="926" spans="4:50" x14ac:dyDescent="0.3">
      <c r="D926" s="244"/>
      <c r="E926" s="341" t="str">
        <f>IF(OR(M926="",M926=0,J926="",G926=""),"",
(IF(AND(F920=$P$4,M926&lt;=$R$4),$V$4,0)+IF(AND(F920=$P$5,M926&lt;=$R$5),$V$5,0)+IF(AND(F920=$P$6,M926&lt;=$R$6),$V$6,0)+IF(AND(F920=$P$7,M926&lt;=$R$7),$V$7,0))
)</f>
        <v/>
      </c>
      <c r="F926" s="153" t="s">
        <v>306</v>
      </c>
      <c r="G926" s="616"/>
      <c r="H926" s="617"/>
      <c r="I926" s="618"/>
      <c r="J926" s="616"/>
      <c r="K926" s="617"/>
      <c r="L926" s="618"/>
      <c r="M926" s="255"/>
      <c r="N926" s="256"/>
      <c r="O926" s="388"/>
      <c r="AD926" s="244"/>
      <c r="AE926" s="341" t="str">
        <f>IF(OR(AM926="",AM926=0,AJ926="",AG926=""),"",
(IF(AND(AF920=$P$4,AM926&lt;=$R$4),$V$4,0)+IF(AND(AF920=$P$5,AM926&lt;=$R$5),$V$5,0)+IF(AND(AF920=$P$6,AM926&lt;=$R$6),$V$6,0)+IF(AND(AF920=$P$7,AM926&lt;=$R$7),$V$7,0))
)</f>
        <v/>
      </c>
      <c r="AF926" s="153" t="s">
        <v>306</v>
      </c>
      <c r="AG926" s="598"/>
      <c r="AH926" s="599"/>
      <c r="AI926" s="600"/>
      <c r="AJ926" s="598"/>
      <c r="AK926" s="599"/>
      <c r="AL926" s="600"/>
      <c r="AM926" s="384"/>
      <c r="AN926" s="256"/>
      <c r="AO926" s="388"/>
    </row>
    <row r="927" spans="4:50" x14ac:dyDescent="0.3">
      <c r="D927" s="244"/>
      <c r="E927" s="341" t="str">
        <f>IF(OR(M927="",M927=0,J927="",G927=""),"",
(IF(AND(F920=$P$4,M927&lt;=$R$4),$V$4,0)+IF(AND(F920=$P$5,M927&lt;=$R$5),$V$5,0)+IF(AND(F920=$P$6,M927&lt;=$R$6),$V$6,0)+IF(AND(F920=$P$7,M927&lt;=$R$7),$V$7,0))
)</f>
        <v/>
      </c>
      <c r="F927" s="153" t="s">
        <v>307</v>
      </c>
      <c r="G927" s="616"/>
      <c r="H927" s="617"/>
      <c r="I927" s="618"/>
      <c r="J927" s="616"/>
      <c r="K927" s="617"/>
      <c r="L927" s="618"/>
      <c r="M927" s="255"/>
      <c r="N927" s="256"/>
      <c r="O927" s="388"/>
      <c r="AD927" s="244"/>
      <c r="AE927" s="341" t="str">
        <f>IF(OR(AM927="",AM927=0,AJ927="",AG927=""),"",
(IF(AND(AF920=$P$4,AM927&lt;=$R$4),$V$4,0)+IF(AND(AF920=$P$5,AM927&lt;=$R$5),$V$5,0)+IF(AND(AF920=$P$6,AM927&lt;=$R$6),$V$6,0)+IF(AND(AF920=$P$7,AM927&lt;=$R$7),$V$7,0))
)</f>
        <v/>
      </c>
      <c r="AF927" s="153" t="s">
        <v>307</v>
      </c>
      <c r="AG927" s="598"/>
      <c r="AH927" s="599"/>
      <c r="AI927" s="600"/>
      <c r="AJ927" s="598"/>
      <c r="AK927" s="599"/>
      <c r="AL927" s="600"/>
      <c r="AM927" s="384"/>
      <c r="AN927" s="256"/>
      <c r="AO927" s="388"/>
    </row>
    <row r="928" spans="4:50" x14ac:dyDescent="0.3">
      <c r="D928" s="244"/>
      <c r="E928" s="341" t="str">
        <f>IF(OR(M928="",M928=0,J928="",G928=""),"",
(IF(AND(F920=$P$4,M928&lt;=$R$4),$V$4,0)+IF(AND(F920=$P$5,M928&lt;=$R$5),$V$5,0)+IF(AND(F920=$P$6,M928&lt;=$R$6),$V$6,0)+IF(AND(F920=$P$7,M928&lt;=$R$7),$V$7,0))
)</f>
        <v/>
      </c>
      <c r="F928" s="153" t="s">
        <v>308</v>
      </c>
      <c r="G928" s="616"/>
      <c r="H928" s="617"/>
      <c r="I928" s="618"/>
      <c r="J928" s="616"/>
      <c r="K928" s="617"/>
      <c r="L928" s="618"/>
      <c r="M928" s="255"/>
      <c r="N928" s="256"/>
      <c r="O928" s="388"/>
      <c r="AD928" s="244"/>
      <c r="AE928" s="341" t="str">
        <f>IF(OR(AM928="",AM928=0,AJ928="",AG928=""),"",
(IF(AND(AF920=$P$4,AM928&lt;=$R$4),$V$4,0)+IF(AND(AF920=$P$5,AM928&lt;=$R$5),$V$5,0)+IF(AND(AF920=$P$6,AM928&lt;=$R$6),$V$6,0)+IF(AND(AF920=$P$7,AM928&lt;=$R$7),$V$7,0))
)</f>
        <v/>
      </c>
      <c r="AF928" s="153" t="s">
        <v>308</v>
      </c>
      <c r="AG928" s="598"/>
      <c r="AH928" s="599"/>
      <c r="AI928" s="600"/>
      <c r="AJ928" s="598"/>
      <c r="AK928" s="599"/>
      <c r="AL928" s="600"/>
      <c r="AM928" s="384"/>
      <c r="AN928" s="256"/>
      <c r="AO928" s="388"/>
    </row>
    <row r="929" spans="4:50" ht="16.2" thickBot="1" x14ac:dyDescent="0.35">
      <c r="D929" s="203"/>
      <c r="E929" s="3"/>
      <c r="F929" s="3"/>
      <c r="G929" s="3"/>
      <c r="H929" s="3"/>
      <c r="I929" s="3"/>
      <c r="J929" s="3"/>
      <c r="K929" s="3"/>
      <c r="L929" s="3"/>
      <c r="M929" s="3"/>
      <c r="N929" s="204"/>
      <c r="P929" s="2"/>
      <c r="AD929" s="203"/>
      <c r="AE929" s="3"/>
      <c r="AF929" s="3"/>
      <c r="AG929" s="3"/>
      <c r="AH929" s="3"/>
      <c r="AI929" s="3"/>
      <c r="AJ929" s="3"/>
      <c r="AK929" s="3"/>
      <c r="AL929" s="3"/>
      <c r="AM929" s="3"/>
      <c r="AN929" s="204"/>
      <c r="AP929" s="2"/>
    </row>
    <row r="930" spans="4:50" x14ac:dyDescent="0.3">
      <c r="D930" s="601" t="str">
        <f>IF(
OR(
OR(F932=$P$4,F932=$P$5,F932=$P$6,F932=$P$7),AND(G934="",G935="",G936="",G937="",G938="",G939="",G940="",J934="",J935="",J936="",J937="",J938="",J939="",J940="",M934="",M935="",M936="",M937="",M938="",M939="",M940="",K931="",K932="")
),
"",
"A Set-Aside must be selected."
)</f>
        <v/>
      </c>
      <c r="E930" s="602"/>
      <c r="F930" s="602"/>
      <c r="G930" s="602"/>
      <c r="H930" s="602"/>
      <c r="I930" s="602"/>
      <c r="J930" s="602"/>
      <c r="K930" s="602"/>
      <c r="L930" s="602"/>
      <c r="M930" s="602"/>
      <c r="N930" s="603"/>
      <c r="O930" s="2"/>
      <c r="AD930" s="601" t="str">
        <f>IF(
OR(
OR(AF932=$P$4,AF932=$P$5,AF932=$P$6,AF932=$P$7),AND(AG934="",AG935="",AG936="",AG937="",AG938="",AG939="",AG940="",AJ934="",AJ935="",AJ936="",AJ937="",AJ938="",AJ939="",AJ940="",AM934="",AM935="",AM936="",AM937="",AM938="",AM939="",AM940="",AK931="",AK932="")
),
"",
"A Set-Aside must be selected."
)</f>
        <v/>
      </c>
      <c r="AE930" s="602"/>
      <c r="AF930" s="602"/>
      <c r="AG930" s="602"/>
      <c r="AH930" s="602"/>
      <c r="AI930" s="602"/>
      <c r="AJ930" s="602"/>
      <c r="AK930" s="602"/>
      <c r="AL930" s="602"/>
      <c r="AM930" s="602"/>
      <c r="AN930" s="603"/>
      <c r="AO930" s="2"/>
    </row>
    <row r="931" spans="4:50" ht="15.75" customHeight="1" x14ac:dyDescent="0.3">
      <c r="D931" s="199"/>
      <c r="E931" s="9" t="s">
        <v>30</v>
      </c>
      <c r="F931" s="86">
        <f>F919+1</f>
        <v>75</v>
      </c>
      <c r="G931" s="9" t="s">
        <v>175</v>
      </c>
      <c r="H931" s="9"/>
      <c r="I931" s="9"/>
      <c r="J931" s="168" t="s">
        <v>111</v>
      </c>
      <c r="K931" s="148"/>
      <c r="N931" s="200"/>
      <c r="R931" s="596" t="s">
        <v>302</v>
      </c>
      <c r="S931" s="596" t="s">
        <v>303</v>
      </c>
      <c r="T931" s="596" t="s">
        <v>304</v>
      </c>
      <c r="U931" s="596" t="s">
        <v>305</v>
      </c>
      <c r="V931" s="596" t="s">
        <v>306</v>
      </c>
      <c r="W931" s="596" t="s">
        <v>307</v>
      </c>
      <c r="X931" s="596" t="s">
        <v>308</v>
      </c>
      <c r="AD931" s="199"/>
      <c r="AE931" s="9" t="s">
        <v>30</v>
      </c>
      <c r="AF931" s="86">
        <f>AF919+1</f>
        <v>75</v>
      </c>
      <c r="AG931" s="9" t="s">
        <v>175</v>
      </c>
      <c r="AH931" s="9"/>
      <c r="AI931" s="9"/>
      <c r="AJ931" s="168" t="s">
        <v>111</v>
      </c>
      <c r="AK931" s="382"/>
      <c r="AN931" s="200"/>
      <c r="AR931" s="596" t="s">
        <v>302</v>
      </c>
      <c r="AS931" s="596" t="s">
        <v>303</v>
      </c>
      <c r="AT931" s="596" t="s">
        <v>304</v>
      </c>
      <c r="AU931" s="596" t="s">
        <v>305</v>
      </c>
      <c r="AV931" s="596" t="s">
        <v>306</v>
      </c>
      <c r="AW931" s="596" t="s">
        <v>307</v>
      </c>
      <c r="AX931" s="596" t="s">
        <v>308</v>
      </c>
    </row>
    <row r="932" spans="4:50" x14ac:dyDescent="0.3">
      <c r="D932" s="604" t="s">
        <v>31</v>
      </c>
      <c r="E932" s="594"/>
      <c r="F932" s="151"/>
      <c r="G932" s="86" t="str">
        <f>IF(F932=$P$4,$Q$4,IF(F932=$P$5,$Q$5,IF(F932=$P$6,$Q$6,IF(F932=$P$7,Q$7,IF(F932=$P$8,"","")))))</f>
        <v/>
      </c>
      <c r="H932" s="201"/>
      <c r="I932" s="201"/>
      <c r="J932" s="168" t="s">
        <v>112</v>
      </c>
      <c r="K932" s="148"/>
      <c r="N932" s="200"/>
      <c r="R932" s="596"/>
      <c r="S932" s="596"/>
      <c r="T932" s="596"/>
      <c r="U932" s="596"/>
      <c r="V932" s="596"/>
      <c r="W932" s="596"/>
      <c r="X932" s="596"/>
      <c r="AD932" s="604" t="s">
        <v>31</v>
      </c>
      <c r="AE932" s="594"/>
      <c r="AF932" s="383"/>
      <c r="AG932" s="86" t="str">
        <f>IF(AF932=$P$4,$Q$4,IF(AF932=$P$5,$Q$5,IF(AF932=$P$6,$Q$6,IF(AF932=$P$7,AQ$7,IF(AF932=$P$8,"","")))))</f>
        <v/>
      </c>
      <c r="AH932" s="201"/>
      <c r="AI932" s="201"/>
      <c r="AJ932" s="168" t="s">
        <v>112</v>
      </c>
      <c r="AK932" s="382"/>
      <c r="AN932" s="200"/>
      <c r="AR932" s="596"/>
      <c r="AS932" s="596"/>
      <c r="AT932" s="596"/>
      <c r="AU932" s="596"/>
      <c r="AV932" s="596"/>
      <c r="AW932" s="596"/>
      <c r="AX932" s="596"/>
    </row>
    <row r="933" spans="4:50" x14ac:dyDescent="0.3">
      <c r="D933" s="244"/>
      <c r="E933" s="230" t="s">
        <v>52</v>
      </c>
      <c r="F933" s="9" t="s">
        <v>32</v>
      </c>
      <c r="G933" s="9" t="s">
        <v>33</v>
      </c>
      <c r="H933" s="9"/>
      <c r="I933" s="9"/>
      <c r="J933" s="9" t="s">
        <v>34</v>
      </c>
      <c r="K933" s="9"/>
      <c r="L933" s="9"/>
      <c r="M933" s="257" t="s">
        <v>35</v>
      </c>
      <c r="N933" s="202"/>
      <c r="O933" s="9"/>
      <c r="P933" s="198" t="s">
        <v>22</v>
      </c>
      <c r="Q933" s="198"/>
      <c r="R933" s="596"/>
      <c r="S933" s="596"/>
      <c r="T933" s="596"/>
      <c r="U933" s="596"/>
      <c r="V933" s="596"/>
      <c r="W933" s="596"/>
      <c r="X933" s="596"/>
      <c r="AD933" s="244"/>
      <c r="AE933" s="230" t="s">
        <v>52</v>
      </c>
      <c r="AF933" s="9" t="s">
        <v>32</v>
      </c>
      <c r="AG933" s="9" t="s">
        <v>33</v>
      </c>
      <c r="AH933" s="9"/>
      <c r="AI933" s="9"/>
      <c r="AJ933" s="9" t="s">
        <v>34</v>
      </c>
      <c r="AK933" s="9"/>
      <c r="AL933" s="9"/>
      <c r="AM933" s="257" t="s">
        <v>35</v>
      </c>
      <c r="AN933" s="202"/>
      <c r="AO933" s="9"/>
      <c r="AP933" s="198" t="s">
        <v>22</v>
      </c>
      <c r="AQ933" s="198"/>
      <c r="AR933" s="596"/>
      <c r="AS933" s="596"/>
      <c r="AT933" s="596"/>
      <c r="AU933" s="596"/>
      <c r="AV933" s="596"/>
      <c r="AW933" s="596"/>
      <c r="AX933" s="596"/>
    </row>
    <row r="934" spans="4:50" x14ac:dyDescent="0.3">
      <c r="D934" s="244"/>
      <c r="E934" s="355" t="str">
        <f>IF(OR(M934="",M934=0,J934="",G934=""),"",
(IF(AND(F932=$P$4,M934&lt;=$R$4),$V$4,0)+IF(AND(F932=$P$5,M934&lt;=$R$5),$V$5,0)+IF(AND(F932=$P$6,M934&lt;=$R$6),$V$6,0)+IF(AND(F932=$P$7,M934&lt;=$R$7),$V$7,0))
)</f>
        <v/>
      </c>
      <c r="F934" s="153" t="s">
        <v>302</v>
      </c>
      <c r="G934" s="616"/>
      <c r="H934" s="617"/>
      <c r="I934" s="618"/>
      <c r="J934" s="616"/>
      <c r="K934" s="617"/>
      <c r="L934" s="618"/>
      <c r="M934" s="255"/>
      <c r="N934" s="256"/>
      <c r="O934" s="388"/>
      <c r="P934" s="185">
        <f t="shared" ref="P934" si="1183">IF(F932="",0,1)</f>
        <v>0</v>
      </c>
      <c r="R934" s="185" t="str">
        <f t="shared" ref="R934" si="1184">E934</f>
        <v/>
      </c>
      <c r="S934" s="185" t="str">
        <f t="shared" ref="S934" si="1185">E935</f>
        <v/>
      </c>
      <c r="T934" s="185" t="str">
        <f t="shared" ref="T934" si="1186">E936</f>
        <v/>
      </c>
      <c r="U934" s="185" t="str">
        <f t="shared" ref="U934" si="1187">E937</f>
        <v/>
      </c>
      <c r="V934" s="185" t="str">
        <f t="shared" ref="V934" si="1188">E938</f>
        <v/>
      </c>
      <c r="W934" s="185" t="str">
        <f t="shared" ref="W934" si="1189">E939</f>
        <v/>
      </c>
      <c r="X934" s="185" t="str">
        <f t="shared" ref="X934" si="1190">E940</f>
        <v/>
      </c>
      <c r="AD934" s="244"/>
      <c r="AE934" s="355" t="str">
        <f>IF(OR(AM934="",AM934=0,AJ934="",AG934=""),"",
(IF(AND(AF932=$P$4,AM934&lt;=$R$4),$V$4,0)+IF(AND(AF932=$P$5,AM934&lt;=$R$5),$V$5,0)+IF(AND(AF932=$P$6,AM934&lt;=$R$6),$V$6,0)+IF(AND(AF932=$P$7,AM934&lt;=$R$7),$V$7,0))
)</f>
        <v/>
      </c>
      <c r="AF934" s="153" t="s">
        <v>302</v>
      </c>
      <c r="AG934" s="598"/>
      <c r="AH934" s="599"/>
      <c r="AI934" s="600"/>
      <c r="AJ934" s="598"/>
      <c r="AK934" s="599"/>
      <c r="AL934" s="600"/>
      <c r="AM934" s="384"/>
      <c r="AN934" s="256"/>
      <c r="AO934" s="388"/>
      <c r="AP934" s="185">
        <f t="shared" ref="AP934" si="1191">IF(AF932="",0,1)</f>
        <v>0</v>
      </c>
      <c r="AR934" s="185" t="str">
        <f t="shared" ref="AR934" si="1192">AE934</f>
        <v/>
      </c>
      <c r="AS934" s="185" t="str">
        <f t="shared" ref="AS934" si="1193">AE935</f>
        <v/>
      </c>
      <c r="AT934" s="185" t="str">
        <f t="shared" ref="AT934" si="1194">AE936</f>
        <v/>
      </c>
      <c r="AU934" s="185" t="str">
        <f t="shared" ref="AU934" si="1195">AE937</f>
        <v/>
      </c>
      <c r="AV934" s="185" t="str">
        <f t="shared" ref="AV934" si="1196">AE938</f>
        <v/>
      </c>
      <c r="AW934" s="185" t="str">
        <f t="shared" ref="AW934" si="1197">AE939</f>
        <v/>
      </c>
      <c r="AX934" s="185" t="str">
        <f t="shared" ref="AX934" si="1198">AE940</f>
        <v/>
      </c>
    </row>
    <row r="935" spans="4:50" x14ac:dyDescent="0.3">
      <c r="D935" s="244"/>
      <c r="E935" s="341" t="str">
        <f>IF(OR(M935="",M935=0,J935="",G935=""),"",
(IF(AND(F932=$P$4,M935&lt;=$R$4),$V$4,0)+IF(AND(F932=$P$5,M935&lt;=$R$5),$V$5,0)+IF(AND(F932=$P$6,M935&lt;=$R$6),$V$6,0)+IF(AND(F932=$P$7,M935&lt;=$R$7),$V$7,0))
)</f>
        <v/>
      </c>
      <c r="F935" s="153" t="s">
        <v>303</v>
      </c>
      <c r="G935" s="616"/>
      <c r="H935" s="617"/>
      <c r="I935" s="618"/>
      <c r="J935" s="616"/>
      <c r="K935" s="617"/>
      <c r="L935" s="618"/>
      <c r="M935" s="255"/>
      <c r="N935" s="256"/>
      <c r="O935" s="388"/>
      <c r="AD935" s="244"/>
      <c r="AE935" s="341" t="str">
        <f>IF(OR(AM935="",AM935=0,AJ935="",AG935=""),"",
(IF(AND(AF932=$P$4,AM935&lt;=$R$4),$V$4,0)+IF(AND(AF932=$P$5,AM935&lt;=$R$5),$V$5,0)+IF(AND(AF932=$P$6,AM935&lt;=$R$6),$V$6,0)+IF(AND(AF932=$P$7,AM935&lt;=$R$7),$V$7,0))
)</f>
        <v/>
      </c>
      <c r="AF935" s="153" t="s">
        <v>303</v>
      </c>
      <c r="AG935" s="598"/>
      <c r="AH935" s="599"/>
      <c r="AI935" s="600"/>
      <c r="AJ935" s="598"/>
      <c r="AK935" s="599"/>
      <c r="AL935" s="600"/>
      <c r="AM935" s="384"/>
      <c r="AN935" s="256"/>
      <c r="AO935" s="388"/>
    </row>
    <row r="936" spans="4:50" x14ac:dyDescent="0.3">
      <c r="D936" s="244"/>
      <c r="E936" s="341" t="str">
        <f>IF(OR(M936="",M936=0,J936="",G936=""),"",
(IF(AND(F932=$P$4,M936&lt;=$R$4),$V$4,0)+IF(AND(F932=$P$5,M936&lt;=$R$5),$V$5,0)+IF(AND(F932=$P$6,M936&lt;=$R$6),$V$6,0)+IF(AND(F932=$P$7,M936&lt;=$R$7),$V$7,0))
)</f>
        <v/>
      </c>
      <c r="F936" s="153" t="s">
        <v>304</v>
      </c>
      <c r="G936" s="616"/>
      <c r="H936" s="617"/>
      <c r="I936" s="618"/>
      <c r="J936" s="616"/>
      <c r="K936" s="617"/>
      <c r="L936" s="618"/>
      <c r="M936" s="255"/>
      <c r="N936" s="256"/>
      <c r="O936" s="388"/>
      <c r="AD936" s="244"/>
      <c r="AE936" s="341" t="str">
        <f>IF(OR(AM936="",AM936=0,AJ936="",AG936=""),"",
(IF(AND(AF932=$P$4,AM936&lt;=$R$4),$V$4,0)+IF(AND(AF932=$P$5,AM936&lt;=$R$5),$V$5,0)+IF(AND(AF932=$P$6,AM936&lt;=$R$6),$V$6,0)+IF(AND(AF932=$P$7,AM936&lt;=$R$7),$V$7,0))
)</f>
        <v/>
      </c>
      <c r="AF936" s="153" t="s">
        <v>304</v>
      </c>
      <c r="AG936" s="598"/>
      <c r="AH936" s="599"/>
      <c r="AI936" s="600"/>
      <c r="AJ936" s="598"/>
      <c r="AK936" s="599"/>
      <c r="AL936" s="600"/>
      <c r="AM936" s="384"/>
      <c r="AN936" s="256"/>
      <c r="AO936" s="388"/>
    </row>
    <row r="937" spans="4:50" x14ac:dyDescent="0.3">
      <c r="D937" s="244"/>
      <c r="E937" s="341" t="str">
        <f>IF(OR(M937="",M937=0,J937="",G937=""),"",
(IF(AND(F932=$P$4,M937&lt;=$R$4),$V$4,0)+IF(AND(F932=$P$5,M937&lt;=$R$5),$V$5,0)+IF(AND(F932=$P$6,M937&lt;=$R$6),$V$6,0)+IF(AND(F932=$P$7,M937&lt;=$R$7),$V$7,0))
)</f>
        <v/>
      </c>
      <c r="F937" s="153" t="s">
        <v>305</v>
      </c>
      <c r="G937" s="616"/>
      <c r="H937" s="617"/>
      <c r="I937" s="618"/>
      <c r="J937" s="616"/>
      <c r="K937" s="617"/>
      <c r="L937" s="618"/>
      <c r="M937" s="255"/>
      <c r="N937" s="256"/>
      <c r="O937" s="388"/>
      <c r="AD937" s="244"/>
      <c r="AE937" s="341" t="str">
        <f>IF(OR(AM937="",AM937=0,AJ937="",AG937=""),"",
(IF(AND(AF932=$P$4,AM937&lt;=$R$4),$V$4,0)+IF(AND(AF932=$P$5,AM937&lt;=$R$5),$V$5,0)+IF(AND(AF932=$P$6,AM937&lt;=$R$6),$V$6,0)+IF(AND(AF932=$P$7,AM937&lt;=$R$7),$V$7,0))
)</f>
        <v/>
      </c>
      <c r="AF937" s="153" t="s">
        <v>305</v>
      </c>
      <c r="AG937" s="598"/>
      <c r="AH937" s="599"/>
      <c r="AI937" s="600"/>
      <c r="AJ937" s="598"/>
      <c r="AK937" s="599"/>
      <c r="AL937" s="600"/>
      <c r="AM937" s="384"/>
      <c r="AN937" s="256"/>
      <c r="AO937" s="388"/>
    </row>
    <row r="938" spans="4:50" x14ac:dyDescent="0.3">
      <c r="D938" s="244"/>
      <c r="E938" s="341" t="str">
        <f>IF(OR(M938="",M938=0,J938="",G938=""),"",
(IF(AND(F932=$P$4,M938&lt;=$R$4),$V$4,0)+IF(AND(F932=$P$5,M938&lt;=$R$5),$V$5,0)+IF(AND(F932=$P$6,M938&lt;=$R$6),$V$6,0)+IF(AND(F932=$P$7,M938&lt;=$R$7),$V$7,0))
)</f>
        <v/>
      </c>
      <c r="F938" s="153" t="s">
        <v>306</v>
      </c>
      <c r="G938" s="616"/>
      <c r="H938" s="617"/>
      <c r="I938" s="618"/>
      <c r="J938" s="616"/>
      <c r="K938" s="617"/>
      <c r="L938" s="618"/>
      <c r="M938" s="255"/>
      <c r="N938" s="256"/>
      <c r="O938" s="388"/>
      <c r="AD938" s="244"/>
      <c r="AE938" s="341" t="str">
        <f>IF(OR(AM938="",AM938=0,AJ938="",AG938=""),"",
(IF(AND(AF932=$P$4,AM938&lt;=$R$4),$V$4,0)+IF(AND(AF932=$P$5,AM938&lt;=$R$5),$V$5,0)+IF(AND(AF932=$P$6,AM938&lt;=$R$6),$V$6,0)+IF(AND(AF932=$P$7,AM938&lt;=$R$7),$V$7,0))
)</f>
        <v/>
      </c>
      <c r="AF938" s="153" t="s">
        <v>306</v>
      </c>
      <c r="AG938" s="598"/>
      <c r="AH938" s="599"/>
      <c r="AI938" s="600"/>
      <c r="AJ938" s="598"/>
      <c r="AK938" s="599"/>
      <c r="AL938" s="600"/>
      <c r="AM938" s="384"/>
      <c r="AN938" s="256"/>
      <c r="AO938" s="388"/>
    </row>
    <row r="939" spans="4:50" x14ac:dyDescent="0.3">
      <c r="D939" s="244"/>
      <c r="E939" s="341" t="str">
        <f>IF(OR(M939="",M939=0,J939="",G939=""),"",
(IF(AND(F932=$P$4,M939&lt;=$R$4),$V$4,0)+IF(AND(F932=$P$5,M939&lt;=$R$5),$V$5,0)+IF(AND(F932=$P$6,M939&lt;=$R$6),$V$6,0)+IF(AND(F932=$P$7,M939&lt;=$R$7),$V$7,0))
)</f>
        <v/>
      </c>
      <c r="F939" s="153" t="s">
        <v>307</v>
      </c>
      <c r="G939" s="616"/>
      <c r="H939" s="617"/>
      <c r="I939" s="618"/>
      <c r="J939" s="616"/>
      <c r="K939" s="617"/>
      <c r="L939" s="618"/>
      <c r="M939" s="255"/>
      <c r="N939" s="256"/>
      <c r="O939" s="388"/>
      <c r="AD939" s="244"/>
      <c r="AE939" s="341" t="str">
        <f>IF(OR(AM939="",AM939=0,AJ939="",AG939=""),"",
(IF(AND(AF932=$P$4,AM939&lt;=$R$4),$V$4,0)+IF(AND(AF932=$P$5,AM939&lt;=$R$5),$V$5,0)+IF(AND(AF932=$P$6,AM939&lt;=$R$6),$V$6,0)+IF(AND(AF932=$P$7,AM939&lt;=$R$7),$V$7,0))
)</f>
        <v/>
      </c>
      <c r="AF939" s="153" t="s">
        <v>307</v>
      </c>
      <c r="AG939" s="598"/>
      <c r="AH939" s="599"/>
      <c r="AI939" s="600"/>
      <c r="AJ939" s="598"/>
      <c r="AK939" s="599"/>
      <c r="AL939" s="600"/>
      <c r="AM939" s="384"/>
      <c r="AN939" s="256"/>
      <c r="AO939" s="388"/>
    </row>
    <row r="940" spans="4:50" x14ac:dyDescent="0.3">
      <c r="D940" s="244"/>
      <c r="E940" s="341" t="str">
        <f>IF(OR(M940="",M940=0,J940="",G940=""),"",
(IF(AND(F932=$P$4,M940&lt;=$R$4),$V$4,0)+IF(AND(F932=$P$5,M940&lt;=$R$5),$V$5,0)+IF(AND(F932=$P$6,M940&lt;=$R$6),$V$6,0)+IF(AND(F932=$P$7,M940&lt;=$R$7),$V$7,0))
)</f>
        <v/>
      </c>
      <c r="F940" s="153" t="s">
        <v>308</v>
      </c>
      <c r="G940" s="616"/>
      <c r="H940" s="617"/>
      <c r="I940" s="618"/>
      <c r="J940" s="616"/>
      <c r="K940" s="617"/>
      <c r="L940" s="618"/>
      <c r="M940" s="255"/>
      <c r="N940" s="256"/>
      <c r="O940" s="388"/>
      <c r="AD940" s="244"/>
      <c r="AE940" s="341" t="str">
        <f>IF(OR(AM940="",AM940=0,AJ940="",AG940=""),"",
(IF(AND(AF932=$P$4,AM940&lt;=$R$4),$V$4,0)+IF(AND(AF932=$P$5,AM940&lt;=$R$5),$V$5,0)+IF(AND(AF932=$P$6,AM940&lt;=$R$6),$V$6,0)+IF(AND(AF932=$P$7,AM940&lt;=$R$7),$V$7,0))
)</f>
        <v/>
      </c>
      <c r="AF940" s="153" t="s">
        <v>308</v>
      </c>
      <c r="AG940" s="598"/>
      <c r="AH940" s="599"/>
      <c r="AI940" s="600"/>
      <c r="AJ940" s="598"/>
      <c r="AK940" s="599"/>
      <c r="AL940" s="600"/>
      <c r="AM940" s="384"/>
      <c r="AN940" s="256"/>
      <c r="AO940" s="388"/>
    </row>
    <row r="941" spans="4:50" ht="16.2" thickBot="1" x14ac:dyDescent="0.35">
      <c r="D941" s="203"/>
      <c r="E941" s="3"/>
      <c r="F941" s="3"/>
      <c r="G941" s="3"/>
      <c r="H941" s="3"/>
      <c r="I941" s="3"/>
      <c r="J941" s="3"/>
      <c r="K941" s="3"/>
      <c r="L941" s="3"/>
      <c r="M941" s="3"/>
      <c r="N941" s="204"/>
      <c r="P941" s="2"/>
      <c r="AD941" s="203"/>
      <c r="AE941" s="3"/>
      <c r="AF941" s="3"/>
      <c r="AG941" s="3"/>
      <c r="AH941" s="3"/>
      <c r="AI941" s="3"/>
      <c r="AJ941" s="3"/>
      <c r="AK941" s="3"/>
      <c r="AL941" s="3"/>
      <c r="AM941" s="3"/>
      <c r="AN941" s="204"/>
      <c r="AP941" s="2"/>
    </row>
    <row r="942" spans="4:50" x14ac:dyDescent="0.3">
      <c r="D942" s="601" t="str">
        <f>IF(
OR(
OR(F944=$P$4,F944=$P$5,F944=$P$6,F944=$P$7),AND(G946="",G947="",G948="",G949="",G950="",G951="",G952="",J946="",J947="",J948="",J949="",J950="",J951="",J952="",M946="",M947="",M948="",M949="",M950="",M951="",M952="",K943="",K944="")
),
"",
"A Set-Aside must be selected."
)</f>
        <v/>
      </c>
      <c r="E942" s="602"/>
      <c r="F942" s="602"/>
      <c r="G942" s="602"/>
      <c r="H942" s="602"/>
      <c r="I942" s="602"/>
      <c r="J942" s="602"/>
      <c r="K942" s="602"/>
      <c r="L942" s="602"/>
      <c r="M942" s="602"/>
      <c r="N942" s="603"/>
      <c r="O942" s="2"/>
      <c r="AD942" s="601" t="str">
        <f>IF(
OR(
OR(AF944=$P$4,AF944=$P$5,AF944=$P$6,AF944=$P$7),AND(AG946="",AG947="",AG948="",AG949="",AG950="",AG951="",AG952="",AJ946="",AJ947="",AJ948="",AJ949="",AJ950="",AJ951="",AJ952="",AM946="",AM947="",AM948="",AM949="",AM950="",AM951="",AM952="",AK943="",AK944="")
),
"",
"A Set-Aside must be selected."
)</f>
        <v/>
      </c>
      <c r="AE942" s="602"/>
      <c r="AF942" s="602"/>
      <c r="AG942" s="602"/>
      <c r="AH942" s="602"/>
      <c r="AI942" s="602"/>
      <c r="AJ942" s="602"/>
      <c r="AK942" s="602"/>
      <c r="AL942" s="602"/>
      <c r="AM942" s="602"/>
      <c r="AN942" s="603"/>
      <c r="AO942" s="2"/>
    </row>
    <row r="943" spans="4:50" ht="15.75" customHeight="1" x14ac:dyDescent="0.3">
      <c r="D943" s="199"/>
      <c r="E943" s="9" t="s">
        <v>30</v>
      </c>
      <c r="F943" s="86">
        <f>F931+1</f>
        <v>76</v>
      </c>
      <c r="G943" s="9" t="s">
        <v>175</v>
      </c>
      <c r="H943" s="9"/>
      <c r="I943" s="9"/>
      <c r="J943" s="168" t="s">
        <v>111</v>
      </c>
      <c r="K943" s="148"/>
      <c r="N943" s="200"/>
      <c r="R943" s="596" t="s">
        <v>302</v>
      </c>
      <c r="S943" s="596" t="s">
        <v>303</v>
      </c>
      <c r="T943" s="596" t="s">
        <v>304</v>
      </c>
      <c r="U943" s="596" t="s">
        <v>305</v>
      </c>
      <c r="V943" s="596" t="s">
        <v>306</v>
      </c>
      <c r="W943" s="596" t="s">
        <v>307</v>
      </c>
      <c r="X943" s="596" t="s">
        <v>308</v>
      </c>
      <c r="AD943" s="199"/>
      <c r="AE943" s="9" t="s">
        <v>30</v>
      </c>
      <c r="AF943" s="86">
        <f>AF931+1</f>
        <v>76</v>
      </c>
      <c r="AG943" s="9" t="s">
        <v>175</v>
      </c>
      <c r="AH943" s="9"/>
      <c r="AI943" s="9"/>
      <c r="AJ943" s="168" t="s">
        <v>111</v>
      </c>
      <c r="AK943" s="382"/>
      <c r="AN943" s="200"/>
      <c r="AR943" s="596" t="s">
        <v>302</v>
      </c>
      <c r="AS943" s="596" t="s">
        <v>303</v>
      </c>
      <c r="AT943" s="596" t="s">
        <v>304</v>
      </c>
      <c r="AU943" s="596" t="s">
        <v>305</v>
      </c>
      <c r="AV943" s="596" t="s">
        <v>306</v>
      </c>
      <c r="AW943" s="596" t="s">
        <v>307</v>
      </c>
      <c r="AX943" s="596" t="s">
        <v>308</v>
      </c>
    </row>
    <row r="944" spans="4:50" x14ac:dyDescent="0.3">
      <c r="D944" s="604" t="s">
        <v>31</v>
      </c>
      <c r="E944" s="594"/>
      <c r="F944" s="151"/>
      <c r="G944" s="86" t="str">
        <f>IF(F944=$P$4,$Q$4,IF(F944=$P$5,$Q$5,IF(F944=$P$6,$Q$6,IF(F944=$P$7,Q$7,IF(F944=$P$8,"","")))))</f>
        <v/>
      </c>
      <c r="H944" s="201"/>
      <c r="I944" s="201"/>
      <c r="J944" s="168" t="s">
        <v>112</v>
      </c>
      <c r="K944" s="148"/>
      <c r="N944" s="200"/>
      <c r="R944" s="596"/>
      <c r="S944" s="596"/>
      <c r="T944" s="596"/>
      <c r="U944" s="596"/>
      <c r="V944" s="596"/>
      <c r="W944" s="596"/>
      <c r="X944" s="596"/>
      <c r="AD944" s="604" t="s">
        <v>31</v>
      </c>
      <c r="AE944" s="594"/>
      <c r="AF944" s="383"/>
      <c r="AG944" s="86" t="str">
        <f>IF(AF944=$P$4,$Q$4,IF(AF944=$P$5,$Q$5,IF(AF944=$P$6,$Q$6,IF(AF944=$P$7,AQ$7,IF(AF944=$P$8,"","")))))</f>
        <v/>
      </c>
      <c r="AH944" s="201"/>
      <c r="AI944" s="201"/>
      <c r="AJ944" s="168" t="s">
        <v>112</v>
      </c>
      <c r="AK944" s="382"/>
      <c r="AN944" s="200"/>
      <c r="AR944" s="596"/>
      <c r="AS944" s="596"/>
      <c r="AT944" s="596"/>
      <c r="AU944" s="596"/>
      <c r="AV944" s="596"/>
      <c r="AW944" s="596"/>
      <c r="AX944" s="596"/>
    </row>
    <row r="945" spans="4:50" x14ac:dyDescent="0.3">
      <c r="D945" s="244"/>
      <c r="E945" s="230" t="s">
        <v>52</v>
      </c>
      <c r="F945" s="9" t="s">
        <v>32</v>
      </c>
      <c r="G945" s="9" t="s">
        <v>33</v>
      </c>
      <c r="H945" s="9"/>
      <c r="I945" s="9"/>
      <c r="J945" s="9" t="s">
        <v>34</v>
      </c>
      <c r="K945" s="9"/>
      <c r="L945" s="9"/>
      <c r="M945" s="257" t="s">
        <v>35</v>
      </c>
      <c r="N945" s="202"/>
      <c r="O945" s="9"/>
      <c r="P945" s="198" t="s">
        <v>22</v>
      </c>
      <c r="Q945" s="198"/>
      <c r="R945" s="596"/>
      <c r="S945" s="596"/>
      <c r="T945" s="596"/>
      <c r="U945" s="596"/>
      <c r="V945" s="596"/>
      <c r="W945" s="596"/>
      <c r="X945" s="596"/>
      <c r="AD945" s="244"/>
      <c r="AE945" s="230" t="s">
        <v>52</v>
      </c>
      <c r="AF945" s="9" t="s">
        <v>32</v>
      </c>
      <c r="AG945" s="9" t="s">
        <v>33</v>
      </c>
      <c r="AH945" s="9"/>
      <c r="AI945" s="9"/>
      <c r="AJ945" s="9" t="s">
        <v>34</v>
      </c>
      <c r="AK945" s="9"/>
      <c r="AL945" s="9"/>
      <c r="AM945" s="257" t="s">
        <v>35</v>
      </c>
      <c r="AN945" s="202"/>
      <c r="AO945" s="9"/>
      <c r="AP945" s="198" t="s">
        <v>22</v>
      </c>
      <c r="AQ945" s="198"/>
      <c r="AR945" s="596"/>
      <c r="AS945" s="596"/>
      <c r="AT945" s="596"/>
      <c r="AU945" s="596"/>
      <c r="AV945" s="596"/>
      <c r="AW945" s="596"/>
      <c r="AX945" s="596"/>
    </row>
    <row r="946" spans="4:50" x14ac:dyDescent="0.3">
      <c r="D946" s="244"/>
      <c r="E946" s="355" t="str">
        <f>IF(OR(M946="",M946=0,J946="",G946=""),"",
(IF(AND(F944=$P$4,M946&lt;=$R$4),$V$4,0)+IF(AND(F944=$P$5,M946&lt;=$R$5),$V$5,0)+IF(AND(F944=$P$6,M946&lt;=$R$6),$V$6,0)+IF(AND(F944=$P$7,M946&lt;=$R$7),$V$7,0))
)</f>
        <v/>
      </c>
      <c r="F946" s="153" t="s">
        <v>302</v>
      </c>
      <c r="G946" s="616"/>
      <c r="H946" s="617"/>
      <c r="I946" s="618"/>
      <c r="J946" s="616"/>
      <c r="K946" s="617"/>
      <c r="L946" s="618"/>
      <c r="M946" s="255"/>
      <c r="N946" s="256"/>
      <c r="O946" s="388"/>
      <c r="P946" s="185">
        <f t="shared" ref="P946" si="1199">IF(F944="",0,1)</f>
        <v>0</v>
      </c>
      <c r="R946" s="185" t="str">
        <f t="shared" ref="R946" si="1200">E946</f>
        <v/>
      </c>
      <c r="S946" s="185" t="str">
        <f t="shared" ref="S946" si="1201">E947</f>
        <v/>
      </c>
      <c r="T946" s="185" t="str">
        <f t="shared" ref="T946" si="1202">E948</f>
        <v/>
      </c>
      <c r="U946" s="185" t="str">
        <f t="shared" ref="U946" si="1203">E949</f>
        <v/>
      </c>
      <c r="V946" s="185" t="str">
        <f t="shared" ref="V946" si="1204">E950</f>
        <v/>
      </c>
      <c r="W946" s="185" t="str">
        <f t="shared" ref="W946" si="1205">E951</f>
        <v/>
      </c>
      <c r="X946" s="185" t="str">
        <f t="shared" ref="X946" si="1206">E952</f>
        <v/>
      </c>
      <c r="AD946" s="244"/>
      <c r="AE946" s="355" t="str">
        <f>IF(OR(AM946="",AM946=0,AJ946="",AG946=""),"",
(IF(AND(AF944=$P$4,AM946&lt;=$R$4),$V$4,0)+IF(AND(AF944=$P$5,AM946&lt;=$R$5),$V$5,0)+IF(AND(AF944=$P$6,AM946&lt;=$R$6),$V$6,0)+IF(AND(AF944=$P$7,AM946&lt;=$R$7),$V$7,0))
)</f>
        <v/>
      </c>
      <c r="AF946" s="153" t="s">
        <v>302</v>
      </c>
      <c r="AG946" s="598"/>
      <c r="AH946" s="599"/>
      <c r="AI946" s="600"/>
      <c r="AJ946" s="598"/>
      <c r="AK946" s="599"/>
      <c r="AL946" s="600"/>
      <c r="AM946" s="384"/>
      <c r="AN946" s="256"/>
      <c r="AO946" s="388"/>
      <c r="AP946" s="185">
        <f t="shared" ref="AP946" si="1207">IF(AF944="",0,1)</f>
        <v>0</v>
      </c>
      <c r="AR946" s="185" t="str">
        <f t="shared" ref="AR946" si="1208">AE946</f>
        <v/>
      </c>
      <c r="AS946" s="185" t="str">
        <f t="shared" ref="AS946" si="1209">AE947</f>
        <v/>
      </c>
      <c r="AT946" s="185" t="str">
        <f t="shared" ref="AT946" si="1210">AE948</f>
        <v/>
      </c>
      <c r="AU946" s="185" t="str">
        <f t="shared" ref="AU946" si="1211">AE949</f>
        <v/>
      </c>
      <c r="AV946" s="185" t="str">
        <f t="shared" ref="AV946" si="1212">AE950</f>
        <v/>
      </c>
      <c r="AW946" s="185" t="str">
        <f t="shared" ref="AW946" si="1213">AE951</f>
        <v/>
      </c>
      <c r="AX946" s="185" t="str">
        <f t="shared" ref="AX946" si="1214">AE952</f>
        <v/>
      </c>
    </row>
    <row r="947" spans="4:50" x14ac:dyDescent="0.3">
      <c r="D947" s="244"/>
      <c r="E947" s="341" t="str">
        <f>IF(OR(M947="",M947=0,J947="",G947=""),"",
(IF(AND(F944=$P$4,M947&lt;=$R$4),$V$4,0)+IF(AND(F944=$P$5,M947&lt;=$R$5),$V$5,0)+IF(AND(F944=$P$6,M947&lt;=$R$6),$V$6,0)+IF(AND(F944=$P$7,M947&lt;=$R$7),$V$7,0))
)</f>
        <v/>
      </c>
      <c r="F947" s="153" t="s">
        <v>303</v>
      </c>
      <c r="G947" s="616"/>
      <c r="H947" s="617"/>
      <c r="I947" s="618"/>
      <c r="J947" s="616"/>
      <c r="K947" s="617"/>
      <c r="L947" s="618"/>
      <c r="M947" s="255"/>
      <c r="N947" s="256"/>
      <c r="O947" s="388"/>
      <c r="AD947" s="244"/>
      <c r="AE947" s="341" t="str">
        <f>IF(OR(AM947="",AM947=0,AJ947="",AG947=""),"",
(IF(AND(AF944=$P$4,AM947&lt;=$R$4),$V$4,0)+IF(AND(AF944=$P$5,AM947&lt;=$R$5),$V$5,0)+IF(AND(AF944=$P$6,AM947&lt;=$R$6),$V$6,0)+IF(AND(AF944=$P$7,AM947&lt;=$R$7),$V$7,0))
)</f>
        <v/>
      </c>
      <c r="AF947" s="153" t="s">
        <v>303</v>
      </c>
      <c r="AG947" s="598"/>
      <c r="AH947" s="599"/>
      <c r="AI947" s="600"/>
      <c r="AJ947" s="598"/>
      <c r="AK947" s="599"/>
      <c r="AL947" s="600"/>
      <c r="AM947" s="384"/>
      <c r="AN947" s="256"/>
      <c r="AO947" s="388"/>
    </row>
    <row r="948" spans="4:50" x14ac:dyDescent="0.3">
      <c r="D948" s="244"/>
      <c r="E948" s="341" t="str">
        <f>IF(OR(M948="",M948=0,J948="",G948=""),"",
(IF(AND(F944=$P$4,M948&lt;=$R$4),$V$4,0)+IF(AND(F944=$P$5,M948&lt;=$R$5),$V$5,0)+IF(AND(F944=$P$6,M948&lt;=$R$6),$V$6,0)+IF(AND(F944=$P$7,M948&lt;=$R$7),$V$7,0))
)</f>
        <v/>
      </c>
      <c r="F948" s="153" t="s">
        <v>304</v>
      </c>
      <c r="G948" s="616"/>
      <c r="H948" s="617"/>
      <c r="I948" s="618"/>
      <c r="J948" s="616"/>
      <c r="K948" s="617"/>
      <c r="L948" s="618"/>
      <c r="M948" s="255"/>
      <c r="N948" s="256"/>
      <c r="O948" s="388"/>
      <c r="AD948" s="244"/>
      <c r="AE948" s="341" t="str">
        <f>IF(OR(AM948="",AM948=0,AJ948="",AG948=""),"",
(IF(AND(AF944=$P$4,AM948&lt;=$R$4),$V$4,0)+IF(AND(AF944=$P$5,AM948&lt;=$R$5),$V$5,0)+IF(AND(AF944=$P$6,AM948&lt;=$R$6),$V$6,0)+IF(AND(AF944=$P$7,AM948&lt;=$R$7),$V$7,0))
)</f>
        <v/>
      </c>
      <c r="AF948" s="153" t="s">
        <v>304</v>
      </c>
      <c r="AG948" s="598"/>
      <c r="AH948" s="599"/>
      <c r="AI948" s="600"/>
      <c r="AJ948" s="598"/>
      <c r="AK948" s="599"/>
      <c r="AL948" s="600"/>
      <c r="AM948" s="384"/>
      <c r="AN948" s="256"/>
      <c r="AO948" s="388"/>
    </row>
    <row r="949" spans="4:50" x14ac:dyDescent="0.3">
      <c r="D949" s="244"/>
      <c r="E949" s="341" t="str">
        <f>IF(OR(M949="",M949=0,J949="",G949=""),"",
(IF(AND(F944=$P$4,M949&lt;=$R$4),$V$4,0)+IF(AND(F944=$P$5,M949&lt;=$R$5),$V$5,0)+IF(AND(F944=$P$6,M949&lt;=$R$6),$V$6,0)+IF(AND(F944=$P$7,M949&lt;=$R$7),$V$7,0))
)</f>
        <v/>
      </c>
      <c r="F949" s="153" t="s">
        <v>305</v>
      </c>
      <c r="G949" s="616"/>
      <c r="H949" s="617"/>
      <c r="I949" s="618"/>
      <c r="J949" s="616"/>
      <c r="K949" s="617"/>
      <c r="L949" s="618"/>
      <c r="M949" s="255"/>
      <c r="N949" s="256"/>
      <c r="O949" s="388"/>
      <c r="AD949" s="244"/>
      <c r="AE949" s="341" t="str">
        <f>IF(OR(AM949="",AM949=0,AJ949="",AG949=""),"",
(IF(AND(AF944=$P$4,AM949&lt;=$R$4),$V$4,0)+IF(AND(AF944=$P$5,AM949&lt;=$R$5),$V$5,0)+IF(AND(AF944=$P$6,AM949&lt;=$R$6),$V$6,0)+IF(AND(AF944=$P$7,AM949&lt;=$R$7),$V$7,0))
)</f>
        <v/>
      </c>
      <c r="AF949" s="153" t="s">
        <v>305</v>
      </c>
      <c r="AG949" s="598"/>
      <c r="AH949" s="599"/>
      <c r="AI949" s="600"/>
      <c r="AJ949" s="598"/>
      <c r="AK949" s="599"/>
      <c r="AL949" s="600"/>
      <c r="AM949" s="384"/>
      <c r="AN949" s="256"/>
      <c r="AO949" s="388"/>
    </row>
    <row r="950" spans="4:50" x14ac:dyDescent="0.3">
      <c r="D950" s="244"/>
      <c r="E950" s="341" t="str">
        <f>IF(OR(M950="",M950=0,J950="",G950=""),"",
(IF(AND(F944=$P$4,M950&lt;=$R$4),$V$4,0)+IF(AND(F944=$P$5,M950&lt;=$R$5),$V$5,0)+IF(AND(F944=$P$6,M950&lt;=$R$6),$V$6,0)+IF(AND(F944=$P$7,M950&lt;=$R$7),$V$7,0))
)</f>
        <v/>
      </c>
      <c r="F950" s="153" t="s">
        <v>306</v>
      </c>
      <c r="G950" s="616"/>
      <c r="H950" s="617"/>
      <c r="I950" s="618"/>
      <c r="J950" s="616"/>
      <c r="K950" s="617"/>
      <c r="L950" s="618"/>
      <c r="M950" s="255"/>
      <c r="N950" s="256"/>
      <c r="O950" s="388"/>
      <c r="AD950" s="244"/>
      <c r="AE950" s="341" t="str">
        <f>IF(OR(AM950="",AM950=0,AJ950="",AG950=""),"",
(IF(AND(AF944=$P$4,AM950&lt;=$R$4),$V$4,0)+IF(AND(AF944=$P$5,AM950&lt;=$R$5),$V$5,0)+IF(AND(AF944=$P$6,AM950&lt;=$R$6),$V$6,0)+IF(AND(AF944=$P$7,AM950&lt;=$R$7),$V$7,0))
)</f>
        <v/>
      </c>
      <c r="AF950" s="153" t="s">
        <v>306</v>
      </c>
      <c r="AG950" s="598"/>
      <c r="AH950" s="599"/>
      <c r="AI950" s="600"/>
      <c r="AJ950" s="598"/>
      <c r="AK950" s="599"/>
      <c r="AL950" s="600"/>
      <c r="AM950" s="384"/>
      <c r="AN950" s="256"/>
      <c r="AO950" s="388"/>
    </row>
    <row r="951" spans="4:50" x14ac:dyDescent="0.3">
      <c r="D951" s="244"/>
      <c r="E951" s="341" t="str">
        <f>IF(OR(M951="",M951=0,J951="",G951=""),"",
(IF(AND(F944=$P$4,M951&lt;=$R$4),$V$4,0)+IF(AND(F944=$P$5,M951&lt;=$R$5),$V$5,0)+IF(AND(F944=$P$6,M951&lt;=$R$6),$V$6,0)+IF(AND(F944=$P$7,M951&lt;=$R$7),$V$7,0))
)</f>
        <v/>
      </c>
      <c r="F951" s="153" t="s">
        <v>307</v>
      </c>
      <c r="G951" s="616"/>
      <c r="H951" s="617"/>
      <c r="I951" s="618"/>
      <c r="J951" s="616"/>
      <c r="K951" s="617"/>
      <c r="L951" s="618"/>
      <c r="M951" s="255"/>
      <c r="N951" s="256"/>
      <c r="O951" s="388"/>
      <c r="AD951" s="244"/>
      <c r="AE951" s="341" t="str">
        <f>IF(OR(AM951="",AM951=0,AJ951="",AG951=""),"",
(IF(AND(AF944=$P$4,AM951&lt;=$R$4),$V$4,0)+IF(AND(AF944=$P$5,AM951&lt;=$R$5),$V$5,0)+IF(AND(AF944=$P$6,AM951&lt;=$R$6),$V$6,0)+IF(AND(AF944=$P$7,AM951&lt;=$R$7),$V$7,0))
)</f>
        <v/>
      </c>
      <c r="AF951" s="153" t="s">
        <v>307</v>
      </c>
      <c r="AG951" s="598"/>
      <c r="AH951" s="599"/>
      <c r="AI951" s="600"/>
      <c r="AJ951" s="598"/>
      <c r="AK951" s="599"/>
      <c r="AL951" s="600"/>
      <c r="AM951" s="384"/>
      <c r="AN951" s="256"/>
      <c r="AO951" s="388"/>
    </row>
    <row r="952" spans="4:50" x14ac:dyDescent="0.3">
      <c r="D952" s="244"/>
      <c r="E952" s="341" t="str">
        <f>IF(OR(M952="",M952=0,J952="",G952=""),"",
(IF(AND(F944=$P$4,M952&lt;=$R$4),$V$4,0)+IF(AND(F944=$P$5,M952&lt;=$R$5),$V$5,0)+IF(AND(F944=$P$6,M952&lt;=$R$6),$V$6,0)+IF(AND(F944=$P$7,M952&lt;=$R$7),$V$7,0))
)</f>
        <v/>
      </c>
      <c r="F952" s="153" t="s">
        <v>308</v>
      </c>
      <c r="G952" s="616"/>
      <c r="H952" s="617"/>
      <c r="I952" s="618"/>
      <c r="J952" s="616"/>
      <c r="K952" s="617"/>
      <c r="L952" s="618"/>
      <c r="M952" s="255"/>
      <c r="N952" s="256"/>
      <c r="O952" s="388"/>
      <c r="AD952" s="244"/>
      <c r="AE952" s="341" t="str">
        <f>IF(OR(AM952="",AM952=0,AJ952="",AG952=""),"",
(IF(AND(AF944=$P$4,AM952&lt;=$R$4),$V$4,0)+IF(AND(AF944=$P$5,AM952&lt;=$R$5),$V$5,0)+IF(AND(AF944=$P$6,AM952&lt;=$R$6),$V$6,0)+IF(AND(AF944=$P$7,AM952&lt;=$R$7),$V$7,0))
)</f>
        <v/>
      </c>
      <c r="AF952" s="153" t="s">
        <v>308</v>
      </c>
      <c r="AG952" s="598"/>
      <c r="AH952" s="599"/>
      <c r="AI952" s="600"/>
      <c r="AJ952" s="598"/>
      <c r="AK952" s="599"/>
      <c r="AL952" s="600"/>
      <c r="AM952" s="384"/>
      <c r="AN952" s="256"/>
      <c r="AO952" s="388"/>
    </row>
    <row r="953" spans="4:50" ht="16.2" thickBot="1" x14ac:dyDescent="0.35">
      <c r="D953" s="203"/>
      <c r="E953" s="3"/>
      <c r="F953" s="3"/>
      <c r="G953" s="3"/>
      <c r="H953" s="3"/>
      <c r="I953" s="3"/>
      <c r="J953" s="3"/>
      <c r="K953" s="3"/>
      <c r="L953" s="3"/>
      <c r="M953" s="3"/>
      <c r="N953" s="204"/>
      <c r="P953" s="2"/>
      <c r="AD953" s="203"/>
      <c r="AE953" s="3"/>
      <c r="AF953" s="3"/>
      <c r="AG953" s="3"/>
      <c r="AH953" s="3"/>
      <c r="AI953" s="3"/>
      <c r="AJ953" s="3"/>
      <c r="AK953" s="3"/>
      <c r="AL953" s="3"/>
      <c r="AM953" s="3"/>
      <c r="AN953" s="204"/>
      <c r="AP953" s="2"/>
    </row>
    <row r="954" spans="4:50" x14ac:dyDescent="0.3">
      <c r="D954" s="601" t="str">
        <f>IF(
OR(
OR(F956=$P$4,F956=$P$5,F956=$P$6,F956=$P$7),AND(G958="",G959="",G960="",G961="",G962="",G963="",G964="",J958="",J959="",J960="",J961="",J962="",J963="",J964="",M958="",M959="",M960="",M961="",M962="",M963="",M964="",K955="",K956="")
),
"",
"A Set-Aside must be selected."
)</f>
        <v/>
      </c>
      <c r="E954" s="602"/>
      <c r="F954" s="602"/>
      <c r="G954" s="602"/>
      <c r="H954" s="602"/>
      <c r="I954" s="602"/>
      <c r="J954" s="602"/>
      <c r="K954" s="602"/>
      <c r="L954" s="602"/>
      <c r="M954" s="602"/>
      <c r="N954" s="603"/>
      <c r="O954" s="2"/>
      <c r="AD954" s="601" t="str">
        <f>IF(
OR(
OR(AF956=$P$4,AF956=$P$5,AF956=$P$6,AF956=$P$7),AND(AG958="",AG959="",AG960="",AG961="",AG962="",AG963="",AG964="",AJ958="",AJ959="",AJ960="",AJ961="",AJ962="",AJ963="",AJ964="",AM958="",AM959="",AM960="",AM961="",AM962="",AM963="",AM964="",AK955="",AK956="")
),
"",
"A Set-Aside must be selected."
)</f>
        <v/>
      </c>
      <c r="AE954" s="602"/>
      <c r="AF954" s="602"/>
      <c r="AG954" s="602"/>
      <c r="AH954" s="602"/>
      <c r="AI954" s="602"/>
      <c r="AJ954" s="602"/>
      <c r="AK954" s="602"/>
      <c r="AL954" s="602"/>
      <c r="AM954" s="602"/>
      <c r="AN954" s="603"/>
      <c r="AO954" s="2"/>
    </row>
    <row r="955" spans="4:50" ht="15.75" customHeight="1" x14ac:dyDescent="0.3">
      <c r="D955" s="199"/>
      <c r="E955" s="9" t="s">
        <v>30</v>
      </c>
      <c r="F955" s="86">
        <f>F943+1</f>
        <v>77</v>
      </c>
      <c r="G955" s="9" t="s">
        <v>175</v>
      </c>
      <c r="H955" s="9"/>
      <c r="I955" s="9"/>
      <c r="J955" s="168" t="s">
        <v>111</v>
      </c>
      <c r="K955" s="148"/>
      <c r="N955" s="200"/>
      <c r="R955" s="596" t="s">
        <v>302</v>
      </c>
      <c r="S955" s="596" t="s">
        <v>303</v>
      </c>
      <c r="T955" s="596" t="s">
        <v>304</v>
      </c>
      <c r="U955" s="596" t="s">
        <v>305</v>
      </c>
      <c r="V955" s="596" t="s">
        <v>306</v>
      </c>
      <c r="W955" s="596" t="s">
        <v>307</v>
      </c>
      <c r="X955" s="596" t="s">
        <v>308</v>
      </c>
      <c r="AD955" s="199"/>
      <c r="AE955" s="9" t="s">
        <v>30</v>
      </c>
      <c r="AF955" s="86">
        <f>AF943+1</f>
        <v>77</v>
      </c>
      <c r="AG955" s="9" t="s">
        <v>175</v>
      </c>
      <c r="AH955" s="9"/>
      <c r="AI955" s="9"/>
      <c r="AJ955" s="168" t="s">
        <v>111</v>
      </c>
      <c r="AK955" s="382"/>
      <c r="AN955" s="200"/>
      <c r="AR955" s="596" t="s">
        <v>302</v>
      </c>
      <c r="AS955" s="596" t="s">
        <v>303</v>
      </c>
      <c r="AT955" s="596" t="s">
        <v>304</v>
      </c>
      <c r="AU955" s="596" t="s">
        <v>305</v>
      </c>
      <c r="AV955" s="596" t="s">
        <v>306</v>
      </c>
      <c r="AW955" s="596" t="s">
        <v>307</v>
      </c>
      <c r="AX955" s="596" t="s">
        <v>308</v>
      </c>
    </row>
    <row r="956" spans="4:50" x14ac:dyDescent="0.3">
      <c r="D956" s="604" t="s">
        <v>31</v>
      </c>
      <c r="E956" s="594"/>
      <c r="F956" s="151"/>
      <c r="G956" s="86" t="str">
        <f>IF(F956=$P$4,$Q$4,IF(F956=$P$5,$Q$5,IF(F956=$P$6,$Q$6,IF(F956=$P$7,Q$7,IF(F956=$P$8,"","")))))</f>
        <v/>
      </c>
      <c r="H956" s="201"/>
      <c r="I956" s="201"/>
      <c r="J956" s="168" t="s">
        <v>112</v>
      </c>
      <c r="K956" s="148"/>
      <c r="N956" s="200"/>
      <c r="R956" s="596"/>
      <c r="S956" s="596"/>
      <c r="T956" s="596"/>
      <c r="U956" s="596"/>
      <c r="V956" s="596"/>
      <c r="W956" s="596"/>
      <c r="X956" s="596"/>
      <c r="AD956" s="604" t="s">
        <v>31</v>
      </c>
      <c r="AE956" s="594"/>
      <c r="AF956" s="383"/>
      <c r="AG956" s="86" t="str">
        <f>IF(AF956=$P$4,$Q$4,IF(AF956=$P$5,$Q$5,IF(AF956=$P$6,$Q$6,IF(AF956=$P$7,AQ$7,IF(AF956=$P$8,"","")))))</f>
        <v/>
      </c>
      <c r="AH956" s="201"/>
      <c r="AI956" s="201"/>
      <c r="AJ956" s="168" t="s">
        <v>112</v>
      </c>
      <c r="AK956" s="382"/>
      <c r="AN956" s="200"/>
      <c r="AR956" s="596"/>
      <c r="AS956" s="596"/>
      <c r="AT956" s="596"/>
      <c r="AU956" s="596"/>
      <c r="AV956" s="596"/>
      <c r="AW956" s="596"/>
      <c r="AX956" s="596"/>
    </row>
    <row r="957" spans="4:50" x14ac:dyDescent="0.3">
      <c r="D957" s="244"/>
      <c r="E957" s="230" t="s">
        <v>52</v>
      </c>
      <c r="F957" s="9" t="s">
        <v>32</v>
      </c>
      <c r="G957" s="9" t="s">
        <v>33</v>
      </c>
      <c r="H957" s="9"/>
      <c r="I957" s="9"/>
      <c r="J957" s="9" t="s">
        <v>34</v>
      </c>
      <c r="K957" s="9"/>
      <c r="L957" s="9"/>
      <c r="M957" s="257" t="s">
        <v>35</v>
      </c>
      <c r="N957" s="202"/>
      <c r="O957" s="9"/>
      <c r="P957" s="198" t="s">
        <v>22</v>
      </c>
      <c r="Q957" s="198"/>
      <c r="R957" s="596"/>
      <c r="S957" s="596"/>
      <c r="T957" s="596"/>
      <c r="U957" s="596"/>
      <c r="V957" s="596"/>
      <c r="W957" s="596"/>
      <c r="X957" s="596"/>
      <c r="AD957" s="244"/>
      <c r="AE957" s="230" t="s">
        <v>52</v>
      </c>
      <c r="AF957" s="9" t="s">
        <v>32</v>
      </c>
      <c r="AG957" s="9" t="s">
        <v>33</v>
      </c>
      <c r="AH957" s="9"/>
      <c r="AI957" s="9"/>
      <c r="AJ957" s="9" t="s">
        <v>34</v>
      </c>
      <c r="AK957" s="9"/>
      <c r="AL957" s="9"/>
      <c r="AM957" s="257" t="s">
        <v>35</v>
      </c>
      <c r="AN957" s="202"/>
      <c r="AO957" s="9"/>
      <c r="AP957" s="198" t="s">
        <v>22</v>
      </c>
      <c r="AQ957" s="198"/>
      <c r="AR957" s="596"/>
      <c r="AS957" s="596"/>
      <c r="AT957" s="596"/>
      <c r="AU957" s="596"/>
      <c r="AV957" s="596"/>
      <c r="AW957" s="596"/>
      <c r="AX957" s="596"/>
    </row>
    <row r="958" spans="4:50" x14ac:dyDescent="0.3">
      <c r="D958" s="244"/>
      <c r="E958" s="355" t="str">
        <f>IF(OR(M958="",M958=0,J958="",G958=""),"",
(IF(AND(F956=$P$4,M958&lt;=$R$4),$V$4,0)+IF(AND(F956=$P$5,M958&lt;=$R$5),$V$5,0)+IF(AND(F956=$P$6,M958&lt;=$R$6),$V$6,0)+IF(AND(F956=$P$7,M958&lt;=$R$7),$V$7,0))
)</f>
        <v/>
      </c>
      <c r="F958" s="153" t="s">
        <v>302</v>
      </c>
      <c r="G958" s="616"/>
      <c r="H958" s="617"/>
      <c r="I958" s="618"/>
      <c r="J958" s="616"/>
      <c r="K958" s="617"/>
      <c r="L958" s="618"/>
      <c r="M958" s="255"/>
      <c r="N958" s="256"/>
      <c r="O958" s="388"/>
      <c r="P958" s="185">
        <f t="shared" ref="P958" si="1215">IF(F956="",0,1)</f>
        <v>0</v>
      </c>
      <c r="R958" s="185" t="str">
        <f t="shared" ref="R958" si="1216">E958</f>
        <v/>
      </c>
      <c r="S958" s="185" t="str">
        <f t="shared" ref="S958" si="1217">E959</f>
        <v/>
      </c>
      <c r="T958" s="185" t="str">
        <f t="shared" ref="T958" si="1218">E960</f>
        <v/>
      </c>
      <c r="U958" s="185" t="str">
        <f t="shared" ref="U958" si="1219">E961</f>
        <v/>
      </c>
      <c r="V958" s="185" t="str">
        <f t="shared" ref="V958" si="1220">E962</f>
        <v/>
      </c>
      <c r="W958" s="185" t="str">
        <f t="shared" ref="W958" si="1221">E963</f>
        <v/>
      </c>
      <c r="X958" s="185" t="str">
        <f t="shared" ref="X958" si="1222">E964</f>
        <v/>
      </c>
      <c r="AD958" s="244"/>
      <c r="AE958" s="355" t="str">
        <f>IF(OR(AM958="",AM958=0,AJ958="",AG958=""),"",
(IF(AND(AF956=$P$4,AM958&lt;=$R$4),$V$4,0)+IF(AND(AF956=$P$5,AM958&lt;=$R$5),$V$5,0)+IF(AND(AF956=$P$6,AM958&lt;=$R$6),$V$6,0)+IF(AND(AF956=$P$7,AM958&lt;=$R$7),$V$7,0))
)</f>
        <v/>
      </c>
      <c r="AF958" s="153" t="s">
        <v>302</v>
      </c>
      <c r="AG958" s="598"/>
      <c r="AH958" s="599"/>
      <c r="AI958" s="600"/>
      <c r="AJ958" s="598"/>
      <c r="AK958" s="599"/>
      <c r="AL958" s="600"/>
      <c r="AM958" s="384"/>
      <c r="AN958" s="256"/>
      <c r="AO958" s="388"/>
      <c r="AP958" s="185">
        <f t="shared" ref="AP958" si="1223">IF(AF956="",0,1)</f>
        <v>0</v>
      </c>
      <c r="AR958" s="185" t="str">
        <f t="shared" ref="AR958" si="1224">AE958</f>
        <v/>
      </c>
      <c r="AS958" s="185" t="str">
        <f t="shared" ref="AS958" si="1225">AE959</f>
        <v/>
      </c>
      <c r="AT958" s="185" t="str">
        <f t="shared" ref="AT958" si="1226">AE960</f>
        <v/>
      </c>
      <c r="AU958" s="185" t="str">
        <f t="shared" ref="AU958" si="1227">AE961</f>
        <v/>
      </c>
      <c r="AV958" s="185" t="str">
        <f t="shared" ref="AV958" si="1228">AE962</f>
        <v/>
      </c>
      <c r="AW958" s="185" t="str">
        <f t="shared" ref="AW958" si="1229">AE963</f>
        <v/>
      </c>
      <c r="AX958" s="185" t="str">
        <f t="shared" ref="AX958" si="1230">AE964</f>
        <v/>
      </c>
    </row>
    <row r="959" spans="4:50" x14ac:dyDescent="0.3">
      <c r="D959" s="244"/>
      <c r="E959" s="341" t="str">
        <f>IF(OR(M959="",M959=0,J959="",G959=""),"",
(IF(AND(F956=$P$4,M959&lt;=$R$4),$V$4,0)+IF(AND(F956=$P$5,M959&lt;=$R$5),$V$5,0)+IF(AND(F956=$P$6,M959&lt;=$R$6),$V$6,0)+IF(AND(F956=$P$7,M959&lt;=$R$7),$V$7,0))
)</f>
        <v/>
      </c>
      <c r="F959" s="153" t="s">
        <v>303</v>
      </c>
      <c r="G959" s="616"/>
      <c r="H959" s="617"/>
      <c r="I959" s="618"/>
      <c r="J959" s="616"/>
      <c r="K959" s="617"/>
      <c r="L959" s="618"/>
      <c r="M959" s="255"/>
      <c r="N959" s="256"/>
      <c r="O959" s="388"/>
      <c r="AD959" s="244"/>
      <c r="AE959" s="341" t="str">
        <f>IF(OR(AM959="",AM959=0,AJ959="",AG959=""),"",
(IF(AND(AF956=$P$4,AM959&lt;=$R$4),$V$4,0)+IF(AND(AF956=$P$5,AM959&lt;=$R$5),$V$5,0)+IF(AND(AF956=$P$6,AM959&lt;=$R$6),$V$6,0)+IF(AND(AF956=$P$7,AM959&lt;=$R$7),$V$7,0))
)</f>
        <v/>
      </c>
      <c r="AF959" s="153" t="s">
        <v>303</v>
      </c>
      <c r="AG959" s="598"/>
      <c r="AH959" s="599"/>
      <c r="AI959" s="600"/>
      <c r="AJ959" s="598"/>
      <c r="AK959" s="599"/>
      <c r="AL959" s="600"/>
      <c r="AM959" s="384"/>
      <c r="AN959" s="256"/>
      <c r="AO959" s="388"/>
    </row>
    <row r="960" spans="4:50" x14ac:dyDescent="0.3">
      <c r="D960" s="244"/>
      <c r="E960" s="341" t="str">
        <f>IF(OR(M960="",M960=0,J960="",G960=""),"",
(IF(AND(F956=$P$4,M960&lt;=$R$4),$V$4,0)+IF(AND(F956=$P$5,M960&lt;=$R$5),$V$5,0)+IF(AND(F956=$P$6,M960&lt;=$R$6),$V$6,0)+IF(AND(F956=$P$7,M960&lt;=$R$7),$V$7,0))
)</f>
        <v/>
      </c>
      <c r="F960" s="153" t="s">
        <v>304</v>
      </c>
      <c r="G960" s="616"/>
      <c r="H960" s="617"/>
      <c r="I960" s="618"/>
      <c r="J960" s="616"/>
      <c r="K960" s="617"/>
      <c r="L960" s="618"/>
      <c r="M960" s="255"/>
      <c r="N960" s="256"/>
      <c r="O960" s="388"/>
      <c r="AD960" s="244"/>
      <c r="AE960" s="341" t="str">
        <f>IF(OR(AM960="",AM960=0,AJ960="",AG960=""),"",
(IF(AND(AF956=$P$4,AM960&lt;=$R$4),$V$4,0)+IF(AND(AF956=$P$5,AM960&lt;=$R$5),$V$5,0)+IF(AND(AF956=$P$6,AM960&lt;=$R$6),$V$6,0)+IF(AND(AF956=$P$7,AM960&lt;=$R$7),$V$7,0))
)</f>
        <v/>
      </c>
      <c r="AF960" s="153" t="s">
        <v>304</v>
      </c>
      <c r="AG960" s="598"/>
      <c r="AH960" s="599"/>
      <c r="AI960" s="600"/>
      <c r="AJ960" s="598"/>
      <c r="AK960" s="599"/>
      <c r="AL960" s="600"/>
      <c r="AM960" s="384"/>
      <c r="AN960" s="256"/>
      <c r="AO960" s="388"/>
    </row>
    <row r="961" spans="4:50" x14ac:dyDescent="0.3">
      <c r="D961" s="244"/>
      <c r="E961" s="341" t="str">
        <f>IF(OR(M961="",M961=0,J961="",G961=""),"",
(IF(AND(F956=$P$4,M961&lt;=$R$4),$V$4,0)+IF(AND(F956=$P$5,M961&lt;=$R$5),$V$5,0)+IF(AND(F956=$P$6,M961&lt;=$R$6),$V$6,0)+IF(AND(F956=$P$7,M961&lt;=$R$7),$V$7,0))
)</f>
        <v/>
      </c>
      <c r="F961" s="153" t="s">
        <v>305</v>
      </c>
      <c r="G961" s="616"/>
      <c r="H961" s="617"/>
      <c r="I961" s="618"/>
      <c r="J961" s="616"/>
      <c r="K961" s="617"/>
      <c r="L961" s="618"/>
      <c r="M961" s="255"/>
      <c r="N961" s="256"/>
      <c r="O961" s="388"/>
      <c r="AD961" s="244"/>
      <c r="AE961" s="341" t="str">
        <f>IF(OR(AM961="",AM961=0,AJ961="",AG961=""),"",
(IF(AND(AF956=$P$4,AM961&lt;=$R$4),$V$4,0)+IF(AND(AF956=$P$5,AM961&lt;=$R$5),$V$5,0)+IF(AND(AF956=$P$6,AM961&lt;=$R$6),$V$6,0)+IF(AND(AF956=$P$7,AM961&lt;=$R$7),$V$7,0))
)</f>
        <v/>
      </c>
      <c r="AF961" s="153" t="s">
        <v>305</v>
      </c>
      <c r="AG961" s="598"/>
      <c r="AH961" s="599"/>
      <c r="AI961" s="600"/>
      <c r="AJ961" s="598"/>
      <c r="AK961" s="599"/>
      <c r="AL961" s="600"/>
      <c r="AM961" s="384"/>
      <c r="AN961" s="256"/>
      <c r="AO961" s="388"/>
    </row>
    <row r="962" spans="4:50" x14ac:dyDescent="0.3">
      <c r="D962" s="244"/>
      <c r="E962" s="341" t="str">
        <f>IF(OR(M962="",M962=0,J962="",G962=""),"",
(IF(AND(F956=$P$4,M962&lt;=$R$4),$V$4,0)+IF(AND(F956=$P$5,M962&lt;=$R$5),$V$5,0)+IF(AND(F956=$P$6,M962&lt;=$R$6),$V$6,0)+IF(AND(F956=$P$7,M962&lt;=$R$7),$V$7,0))
)</f>
        <v/>
      </c>
      <c r="F962" s="153" t="s">
        <v>306</v>
      </c>
      <c r="G962" s="616"/>
      <c r="H962" s="617"/>
      <c r="I962" s="618"/>
      <c r="J962" s="616"/>
      <c r="K962" s="617"/>
      <c r="L962" s="618"/>
      <c r="M962" s="255"/>
      <c r="N962" s="256"/>
      <c r="O962" s="388"/>
      <c r="AD962" s="244"/>
      <c r="AE962" s="341" t="str">
        <f>IF(OR(AM962="",AM962=0,AJ962="",AG962=""),"",
(IF(AND(AF956=$P$4,AM962&lt;=$R$4),$V$4,0)+IF(AND(AF956=$P$5,AM962&lt;=$R$5),$V$5,0)+IF(AND(AF956=$P$6,AM962&lt;=$R$6),$V$6,0)+IF(AND(AF956=$P$7,AM962&lt;=$R$7),$V$7,0))
)</f>
        <v/>
      </c>
      <c r="AF962" s="153" t="s">
        <v>306</v>
      </c>
      <c r="AG962" s="598"/>
      <c r="AH962" s="599"/>
      <c r="AI962" s="600"/>
      <c r="AJ962" s="598"/>
      <c r="AK962" s="599"/>
      <c r="AL962" s="600"/>
      <c r="AM962" s="384"/>
      <c r="AN962" s="256"/>
      <c r="AO962" s="388"/>
    </row>
    <row r="963" spans="4:50" x14ac:dyDescent="0.3">
      <c r="D963" s="244"/>
      <c r="E963" s="341" t="str">
        <f>IF(OR(M963="",M963=0,J963="",G963=""),"",
(IF(AND(F956=$P$4,M963&lt;=$R$4),$V$4,0)+IF(AND(F956=$P$5,M963&lt;=$R$5),$V$5,0)+IF(AND(F956=$P$6,M963&lt;=$R$6),$V$6,0)+IF(AND(F956=$P$7,M963&lt;=$R$7),$V$7,0))
)</f>
        <v/>
      </c>
      <c r="F963" s="153" t="s">
        <v>307</v>
      </c>
      <c r="G963" s="616"/>
      <c r="H963" s="617"/>
      <c r="I963" s="618"/>
      <c r="J963" s="616"/>
      <c r="K963" s="617"/>
      <c r="L963" s="618"/>
      <c r="M963" s="255"/>
      <c r="N963" s="256"/>
      <c r="O963" s="388"/>
      <c r="AD963" s="244"/>
      <c r="AE963" s="341" t="str">
        <f>IF(OR(AM963="",AM963=0,AJ963="",AG963=""),"",
(IF(AND(AF956=$P$4,AM963&lt;=$R$4),$V$4,0)+IF(AND(AF956=$P$5,AM963&lt;=$R$5),$V$5,0)+IF(AND(AF956=$P$6,AM963&lt;=$R$6),$V$6,0)+IF(AND(AF956=$P$7,AM963&lt;=$R$7),$V$7,0))
)</f>
        <v/>
      </c>
      <c r="AF963" s="153" t="s">
        <v>307</v>
      </c>
      <c r="AG963" s="598"/>
      <c r="AH963" s="599"/>
      <c r="AI963" s="600"/>
      <c r="AJ963" s="598"/>
      <c r="AK963" s="599"/>
      <c r="AL963" s="600"/>
      <c r="AM963" s="384"/>
      <c r="AN963" s="256"/>
      <c r="AO963" s="388"/>
    </row>
    <row r="964" spans="4:50" x14ac:dyDescent="0.3">
      <c r="D964" s="244"/>
      <c r="E964" s="341" t="str">
        <f>IF(OR(M964="",M964=0,J964="",G964=""),"",
(IF(AND(F956=$P$4,M964&lt;=$R$4),$V$4,0)+IF(AND(F956=$P$5,M964&lt;=$R$5),$V$5,0)+IF(AND(F956=$P$6,M964&lt;=$R$6),$V$6,0)+IF(AND(F956=$P$7,M964&lt;=$R$7),$V$7,0))
)</f>
        <v/>
      </c>
      <c r="F964" s="153" t="s">
        <v>308</v>
      </c>
      <c r="G964" s="616"/>
      <c r="H964" s="617"/>
      <c r="I964" s="618"/>
      <c r="J964" s="616"/>
      <c r="K964" s="617"/>
      <c r="L964" s="618"/>
      <c r="M964" s="255"/>
      <c r="N964" s="256"/>
      <c r="O964" s="388"/>
      <c r="AD964" s="244"/>
      <c r="AE964" s="341" t="str">
        <f>IF(OR(AM964="",AM964=0,AJ964="",AG964=""),"",
(IF(AND(AF956=$P$4,AM964&lt;=$R$4),$V$4,0)+IF(AND(AF956=$P$5,AM964&lt;=$R$5),$V$5,0)+IF(AND(AF956=$P$6,AM964&lt;=$R$6),$V$6,0)+IF(AND(AF956=$P$7,AM964&lt;=$R$7),$V$7,0))
)</f>
        <v/>
      </c>
      <c r="AF964" s="153" t="s">
        <v>308</v>
      </c>
      <c r="AG964" s="598"/>
      <c r="AH964" s="599"/>
      <c r="AI964" s="600"/>
      <c r="AJ964" s="598"/>
      <c r="AK964" s="599"/>
      <c r="AL964" s="600"/>
      <c r="AM964" s="384"/>
      <c r="AN964" s="256"/>
      <c r="AO964" s="388"/>
    </row>
    <row r="965" spans="4:50" ht="16.2" thickBot="1" x14ac:dyDescent="0.35">
      <c r="D965" s="203"/>
      <c r="E965" s="3"/>
      <c r="F965" s="3"/>
      <c r="G965" s="3"/>
      <c r="H965" s="3"/>
      <c r="I965" s="3"/>
      <c r="J965" s="3"/>
      <c r="K965" s="3"/>
      <c r="L965" s="3"/>
      <c r="M965" s="3"/>
      <c r="N965" s="204"/>
      <c r="P965" s="2"/>
      <c r="AD965" s="203"/>
      <c r="AE965" s="3"/>
      <c r="AF965" s="3"/>
      <c r="AG965" s="3"/>
      <c r="AH965" s="3"/>
      <c r="AI965" s="3"/>
      <c r="AJ965" s="3"/>
      <c r="AK965" s="3"/>
      <c r="AL965" s="3"/>
      <c r="AM965" s="3"/>
      <c r="AN965" s="204"/>
      <c r="AP965" s="2"/>
    </row>
    <row r="966" spans="4:50" x14ac:dyDescent="0.3">
      <c r="D966" s="601" t="str">
        <f>IF(
OR(
OR(F968=$P$4,F968=$P$5,F968=$P$6,F968=$P$7),AND(G970="",G971="",G972="",G973="",G974="",G975="",G976="",J970="",J971="",J972="",J973="",J974="",J975="",J976="",M970="",M971="",M972="",M973="",M974="",M975="",M976="",K967="",K968="")
),
"",
"A Set-Aside must be selected."
)</f>
        <v/>
      </c>
      <c r="E966" s="602"/>
      <c r="F966" s="602"/>
      <c r="G966" s="602"/>
      <c r="H966" s="602"/>
      <c r="I966" s="602"/>
      <c r="J966" s="602"/>
      <c r="K966" s="602"/>
      <c r="L966" s="602"/>
      <c r="M966" s="602"/>
      <c r="N966" s="603"/>
      <c r="O966" s="2"/>
      <c r="AD966" s="601" t="str">
        <f>IF(
OR(
OR(AF968=$P$4,AF968=$P$5,AF968=$P$6,AF968=$P$7),AND(AG970="",AG971="",AG972="",AG973="",AG974="",AG975="",AG976="",AJ970="",AJ971="",AJ972="",AJ973="",AJ974="",AJ975="",AJ976="",AM970="",AM971="",AM972="",AM973="",AM974="",AM975="",AM976="",AK967="",AK968="")
),
"",
"A Set-Aside must be selected."
)</f>
        <v/>
      </c>
      <c r="AE966" s="602"/>
      <c r="AF966" s="602"/>
      <c r="AG966" s="602"/>
      <c r="AH966" s="602"/>
      <c r="AI966" s="602"/>
      <c r="AJ966" s="602"/>
      <c r="AK966" s="602"/>
      <c r="AL966" s="602"/>
      <c r="AM966" s="602"/>
      <c r="AN966" s="603"/>
      <c r="AO966" s="2"/>
    </row>
    <row r="967" spans="4:50" ht="15.75" customHeight="1" x14ac:dyDescent="0.3">
      <c r="D967" s="199"/>
      <c r="E967" s="9" t="s">
        <v>30</v>
      </c>
      <c r="F967" s="86">
        <f>F955+1</f>
        <v>78</v>
      </c>
      <c r="G967" s="9" t="s">
        <v>175</v>
      </c>
      <c r="H967" s="9"/>
      <c r="I967" s="9"/>
      <c r="J967" s="168" t="s">
        <v>111</v>
      </c>
      <c r="K967" s="148"/>
      <c r="N967" s="200"/>
      <c r="R967" s="596" t="s">
        <v>302</v>
      </c>
      <c r="S967" s="596" t="s">
        <v>303</v>
      </c>
      <c r="T967" s="596" t="s">
        <v>304</v>
      </c>
      <c r="U967" s="596" t="s">
        <v>305</v>
      </c>
      <c r="V967" s="596" t="s">
        <v>306</v>
      </c>
      <c r="W967" s="596" t="s">
        <v>307</v>
      </c>
      <c r="X967" s="596" t="s">
        <v>308</v>
      </c>
      <c r="AD967" s="199"/>
      <c r="AE967" s="9" t="s">
        <v>30</v>
      </c>
      <c r="AF967" s="86">
        <f>AF955+1</f>
        <v>78</v>
      </c>
      <c r="AG967" s="9" t="s">
        <v>175</v>
      </c>
      <c r="AH967" s="9"/>
      <c r="AI967" s="9"/>
      <c r="AJ967" s="168" t="s">
        <v>111</v>
      </c>
      <c r="AK967" s="382"/>
      <c r="AN967" s="200"/>
      <c r="AR967" s="596" t="s">
        <v>302</v>
      </c>
      <c r="AS967" s="596" t="s">
        <v>303</v>
      </c>
      <c r="AT967" s="596" t="s">
        <v>304</v>
      </c>
      <c r="AU967" s="596" t="s">
        <v>305</v>
      </c>
      <c r="AV967" s="596" t="s">
        <v>306</v>
      </c>
      <c r="AW967" s="596" t="s">
        <v>307</v>
      </c>
      <c r="AX967" s="596" t="s">
        <v>308</v>
      </c>
    </row>
    <row r="968" spans="4:50" x14ac:dyDescent="0.3">
      <c r="D968" s="604" t="s">
        <v>31</v>
      </c>
      <c r="E968" s="594"/>
      <c r="F968" s="151"/>
      <c r="G968" s="86" t="str">
        <f>IF(F968=$P$4,$Q$4,IF(F968=$P$5,$Q$5,IF(F968=$P$6,$Q$6,IF(F968=$P$7,Q$7,IF(F968=$P$8,"","")))))</f>
        <v/>
      </c>
      <c r="H968" s="201"/>
      <c r="I968" s="201"/>
      <c r="J968" s="168" t="s">
        <v>112</v>
      </c>
      <c r="K968" s="148"/>
      <c r="N968" s="200"/>
      <c r="R968" s="596"/>
      <c r="S968" s="596"/>
      <c r="T968" s="596"/>
      <c r="U968" s="596"/>
      <c r="V968" s="596"/>
      <c r="W968" s="596"/>
      <c r="X968" s="596"/>
      <c r="AD968" s="604" t="s">
        <v>31</v>
      </c>
      <c r="AE968" s="594"/>
      <c r="AF968" s="383"/>
      <c r="AG968" s="86" t="str">
        <f>IF(AF968=$P$4,$Q$4,IF(AF968=$P$5,$Q$5,IF(AF968=$P$6,$Q$6,IF(AF968=$P$7,AQ$7,IF(AF968=$P$8,"","")))))</f>
        <v/>
      </c>
      <c r="AH968" s="201"/>
      <c r="AI968" s="201"/>
      <c r="AJ968" s="168" t="s">
        <v>112</v>
      </c>
      <c r="AK968" s="382"/>
      <c r="AN968" s="200"/>
      <c r="AR968" s="596"/>
      <c r="AS968" s="596"/>
      <c r="AT968" s="596"/>
      <c r="AU968" s="596"/>
      <c r="AV968" s="596"/>
      <c r="AW968" s="596"/>
      <c r="AX968" s="596"/>
    </row>
    <row r="969" spans="4:50" x14ac:dyDescent="0.3">
      <c r="D969" s="244"/>
      <c r="E969" s="230" t="s">
        <v>52</v>
      </c>
      <c r="F969" s="9" t="s">
        <v>32</v>
      </c>
      <c r="G969" s="9" t="s">
        <v>33</v>
      </c>
      <c r="H969" s="9"/>
      <c r="I969" s="9"/>
      <c r="J969" s="9" t="s">
        <v>34</v>
      </c>
      <c r="K969" s="9"/>
      <c r="L969" s="9"/>
      <c r="M969" s="257" t="s">
        <v>35</v>
      </c>
      <c r="N969" s="202"/>
      <c r="O969" s="9"/>
      <c r="P969" s="198" t="s">
        <v>22</v>
      </c>
      <c r="Q969" s="198"/>
      <c r="R969" s="596"/>
      <c r="S969" s="596"/>
      <c r="T969" s="596"/>
      <c r="U969" s="596"/>
      <c r="V969" s="596"/>
      <c r="W969" s="596"/>
      <c r="X969" s="596"/>
      <c r="AD969" s="244"/>
      <c r="AE969" s="230" t="s">
        <v>52</v>
      </c>
      <c r="AF969" s="9" t="s">
        <v>32</v>
      </c>
      <c r="AG969" s="9" t="s">
        <v>33</v>
      </c>
      <c r="AH969" s="9"/>
      <c r="AI969" s="9"/>
      <c r="AJ969" s="9" t="s">
        <v>34</v>
      </c>
      <c r="AK969" s="9"/>
      <c r="AL969" s="9"/>
      <c r="AM969" s="257" t="s">
        <v>35</v>
      </c>
      <c r="AN969" s="202"/>
      <c r="AO969" s="9"/>
      <c r="AP969" s="198" t="s">
        <v>22</v>
      </c>
      <c r="AQ969" s="198"/>
      <c r="AR969" s="596"/>
      <c r="AS969" s="596"/>
      <c r="AT969" s="596"/>
      <c r="AU969" s="596"/>
      <c r="AV969" s="596"/>
      <c r="AW969" s="596"/>
      <c r="AX969" s="596"/>
    </row>
    <row r="970" spans="4:50" x14ac:dyDescent="0.3">
      <c r="D970" s="244"/>
      <c r="E970" s="355" t="str">
        <f>IF(OR(M970="",M970=0,J970="",G970=""),"",
(IF(AND(F968=$P$4,M970&lt;=$R$4),$V$4,0)+IF(AND(F968=$P$5,M970&lt;=$R$5),$V$5,0)+IF(AND(F968=$P$6,M970&lt;=$R$6),$V$6,0)+IF(AND(F968=$P$7,M970&lt;=$R$7),$V$7,0))
)</f>
        <v/>
      </c>
      <c r="F970" s="153" t="s">
        <v>302</v>
      </c>
      <c r="G970" s="616"/>
      <c r="H970" s="617"/>
      <c r="I970" s="618"/>
      <c r="J970" s="616"/>
      <c r="K970" s="617"/>
      <c r="L970" s="618"/>
      <c r="M970" s="255"/>
      <c r="N970" s="256"/>
      <c r="O970" s="388"/>
      <c r="P970" s="185">
        <f t="shared" ref="P970" si="1231">IF(F968="",0,1)</f>
        <v>0</v>
      </c>
      <c r="R970" s="185" t="str">
        <f t="shared" ref="R970" si="1232">E970</f>
        <v/>
      </c>
      <c r="S970" s="185" t="str">
        <f t="shared" ref="S970" si="1233">E971</f>
        <v/>
      </c>
      <c r="T970" s="185" t="str">
        <f t="shared" ref="T970" si="1234">E972</f>
        <v/>
      </c>
      <c r="U970" s="185" t="str">
        <f t="shared" ref="U970" si="1235">E973</f>
        <v/>
      </c>
      <c r="V970" s="185" t="str">
        <f t="shared" ref="V970" si="1236">E974</f>
        <v/>
      </c>
      <c r="W970" s="185" t="str">
        <f t="shared" ref="W970" si="1237">E975</f>
        <v/>
      </c>
      <c r="X970" s="185" t="str">
        <f t="shared" ref="X970" si="1238">E976</f>
        <v/>
      </c>
      <c r="AD970" s="244"/>
      <c r="AE970" s="355" t="str">
        <f>IF(OR(AM970="",AM970=0,AJ970="",AG970=""),"",
(IF(AND(AF968=$P$4,AM970&lt;=$R$4),$V$4,0)+IF(AND(AF968=$P$5,AM970&lt;=$R$5),$V$5,0)+IF(AND(AF968=$P$6,AM970&lt;=$R$6),$V$6,0)+IF(AND(AF968=$P$7,AM970&lt;=$R$7),$V$7,0))
)</f>
        <v/>
      </c>
      <c r="AF970" s="153" t="s">
        <v>302</v>
      </c>
      <c r="AG970" s="598"/>
      <c r="AH970" s="599"/>
      <c r="AI970" s="600"/>
      <c r="AJ970" s="598"/>
      <c r="AK970" s="599"/>
      <c r="AL970" s="600"/>
      <c r="AM970" s="384"/>
      <c r="AN970" s="256"/>
      <c r="AO970" s="388"/>
      <c r="AP970" s="185">
        <f t="shared" ref="AP970" si="1239">IF(AF968="",0,1)</f>
        <v>0</v>
      </c>
      <c r="AR970" s="185" t="str">
        <f t="shared" ref="AR970" si="1240">AE970</f>
        <v/>
      </c>
      <c r="AS970" s="185" t="str">
        <f t="shared" ref="AS970" si="1241">AE971</f>
        <v/>
      </c>
      <c r="AT970" s="185" t="str">
        <f t="shared" ref="AT970" si="1242">AE972</f>
        <v/>
      </c>
      <c r="AU970" s="185" t="str">
        <f t="shared" ref="AU970" si="1243">AE973</f>
        <v/>
      </c>
      <c r="AV970" s="185" t="str">
        <f t="shared" ref="AV970" si="1244">AE974</f>
        <v/>
      </c>
      <c r="AW970" s="185" t="str">
        <f t="shared" ref="AW970" si="1245">AE975</f>
        <v/>
      </c>
      <c r="AX970" s="185" t="str">
        <f t="shared" ref="AX970" si="1246">AE976</f>
        <v/>
      </c>
    </row>
    <row r="971" spans="4:50" x14ac:dyDescent="0.3">
      <c r="D971" s="244"/>
      <c r="E971" s="341" t="str">
        <f>IF(OR(M971="",M971=0,J971="",G971=""),"",
(IF(AND(F968=$P$4,M971&lt;=$R$4),$V$4,0)+IF(AND(F968=$P$5,M971&lt;=$R$5),$V$5,0)+IF(AND(F968=$P$6,M971&lt;=$R$6),$V$6,0)+IF(AND(F968=$P$7,M971&lt;=$R$7),$V$7,0))
)</f>
        <v/>
      </c>
      <c r="F971" s="153" t="s">
        <v>303</v>
      </c>
      <c r="G971" s="616"/>
      <c r="H971" s="617"/>
      <c r="I971" s="618"/>
      <c r="J971" s="616"/>
      <c r="K971" s="617"/>
      <c r="L971" s="618"/>
      <c r="M971" s="255"/>
      <c r="N971" s="256"/>
      <c r="O971" s="388"/>
      <c r="AD971" s="244"/>
      <c r="AE971" s="341" t="str">
        <f>IF(OR(AM971="",AM971=0,AJ971="",AG971=""),"",
(IF(AND(AF968=$P$4,AM971&lt;=$R$4),$V$4,0)+IF(AND(AF968=$P$5,AM971&lt;=$R$5),$V$5,0)+IF(AND(AF968=$P$6,AM971&lt;=$R$6),$V$6,0)+IF(AND(AF968=$P$7,AM971&lt;=$R$7),$V$7,0))
)</f>
        <v/>
      </c>
      <c r="AF971" s="153" t="s">
        <v>303</v>
      </c>
      <c r="AG971" s="598"/>
      <c r="AH971" s="599"/>
      <c r="AI971" s="600"/>
      <c r="AJ971" s="598"/>
      <c r="AK971" s="599"/>
      <c r="AL971" s="600"/>
      <c r="AM971" s="384"/>
      <c r="AN971" s="256"/>
      <c r="AO971" s="388"/>
    </row>
    <row r="972" spans="4:50" x14ac:dyDescent="0.3">
      <c r="D972" s="244"/>
      <c r="E972" s="341" t="str">
        <f>IF(OR(M972="",M972=0,J972="",G972=""),"",
(IF(AND(F968=$P$4,M972&lt;=$R$4),$V$4,0)+IF(AND(F968=$P$5,M972&lt;=$R$5),$V$5,0)+IF(AND(F968=$P$6,M972&lt;=$R$6),$V$6,0)+IF(AND(F968=$P$7,M972&lt;=$R$7),$V$7,0))
)</f>
        <v/>
      </c>
      <c r="F972" s="153" t="s">
        <v>304</v>
      </c>
      <c r="G972" s="616"/>
      <c r="H972" s="617"/>
      <c r="I972" s="618"/>
      <c r="J972" s="616"/>
      <c r="K972" s="617"/>
      <c r="L972" s="618"/>
      <c r="M972" s="255"/>
      <c r="N972" s="256"/>
      <c r="O972" s="388"/>
      <c r="AD972" s="244"/>
      <c r="AE972" s="341" t="str">
        <f>IF(OR(AM972="",AM972=0,AJ972="",AG972=""),"",
(IF(AND(AF968=$P$4,AM972&lt;=$R$4),$V$4,0)+IF(AND(AF968=$P$5,AM972&lt;=$R$5),$V$5,0)+IF(AND(AF968=$P$6,AM972&lt;=$R$6),$V$6,0)+IF(AND(AF968=$P$7,AM972&lt;=$R$7),$V$7,0))
)</f>
        <v/>
      </c>
      <c r="AF972" s="153" t="s">
        <v>304</v>
      </c>
      <c r="AG972" s="598"/>
      <c r="AH972" s="599"/>
      <c r="AI972" s="600"/>
      <c r="AJ972" s="598"/>
      <c r="AK972" s="599"/>
      <c r="AL972" s="600"/>
      <c r="AM972" s="384"/>
      <c r="AN972" s="256"/>
      <c r="AO972" s="388"/>
    </row>
    <row r="973" spans="4:50" x14ac:dyDescent="0.3">
      <c r="D973" s="244"/>
      <c r="E973" s="341" t="str">
        <f>IF(OR(M973="",M973=0,J973="",G973=""),"",
(IF(AND(F968=$P$4,M973&lt;=$R$4),$V$4,0)+IF(AND(F968=$P$5,M973&lt;=$R$5),$V$5,0)+IF(AND(F968=$P$6,M973&lt;=$R$6),$V$6,0)+IF(AND(F968=$P$7,M973&lt;=$R$7),$V$7,0))
)</f>
        <v/>
      </c>
      <c r="F973" s="153" t="s">
        <v>305</v>
      </c>
      <c r="G973" s="616"/>
      <c r="H973" s="617"/>
      <c r="I973" s="618"/>
      <c r="J973" s="616"/>
      <c r="K973" s="617"/>
      <c r="L973" s="618"/>
      <c r="M973" s="255"/>
      <c r="N973" s="256"/>
      <c r="O973" s="388"/>
      <c r="AD973" s="244"/>
      <c r="AE973" s="341" t="str">
        <f>IF(OR(AM973="",AM973=0,AJ973="",AG973=""),"",
(IF(AND(AF968=$P$4,AM973&lt;=$R$4),$V$4,0)+IF(AND(AF968=$P$5,AM973&lt;=$R$5),$V$5,0)+IF(AND(AF968=$P$6,AM973&lt;=$R$6),$V$6,0)+IF(AND(AF968=$P$7,AM973&lt;=$R$7),$V$7,0))
)</f>
        <v/>
      </c>
      <c r="AF973" s="153" t="s">
        <v>305</v>
      </c>
      <c r="AG973" s="598"/>
      <c r="AH973" s="599"/>
      <c r="AI973" s="600"/>
      <c r="AJ973" s="598"/>
      <c r="AK973" s="599"/>
      <c r="AL973" s="600"/>
      <c r="AM973" s="384"/>
      <c r="AN973" s="256"/>
      <c r="AO973" s="388"/>
    </row>
    <row r="974" spans="4:50" x14ac:dyDescent="0.3">
      <c r="D974" s="244"/>
      <c r="E974" s="341" t="str">
        <f>IF(OR(M974="",M974=0,J974="",G974=""),"",
(IF(AND(F968=$P$4,M974&lt;=$R$4),$V$4,0)+IF(AND(F968=$P$5,M974&lt;=$R$5),$V$5,0)+IF(AND(F968=$P$6,M974&lt;=$R$6),$V$6,0)+IF(AND(F968=$P$7,M974&lt;=$R$7),$V$7,0))
)</f>
        <v/>
      </c>
      <c r="F974" s="153" t="s">
        <v>306</v>
      </c>
      <c r="G974" s="616"/>
      <c r="H974" s="617"/>
      <c r="I974" s="618"/>
      <c r="J974" s="616"/>
      <c r="K974" s="617"/>
      <c r="L974" s="618"/>
      <c r="M974" s="255"/>
      <c r="N974" s="256"/>
      <c r="O974" s="388"/>
      <c r="AD974" s="244"/>
      <c r="AE974" s="341" t="str">
        <f>IF(OR(AM974="",AM974=0,AJ974="",AG974=""),"",
(IF(AND(AF968=$P$4,AM974&lt;=$R$4),$V$4,0)+IF(AND(AF968=$P$5,AM974&lt;=$R$5),$V$5,0)+IF(AND(AF968=$P$6,AM974&lt;=$R$6),$V$6,0)+IF(AND(AF968=$P$7,AM974&lt;=$R$7),$V$7,0))
)</f>
        <v/>
      </c>
      <c r="AF974" s="153" t="s">
        <v>306</v>
      </c>
      <c r="AG974" s="598"/>
      <c r="AH974" s="599"/>
      <c r="AI974" s="600"/>
      <c r="AJ974" s="598"/>
      <c r="AK974" s="599"/>
      <c r="AL974" s="600"/>
      <c r="AM974" s="384"/>
      <c r="AN974" s="256"/>
      <c r="AO974" s="388"/>
    </row>
    <row r="975" spans="4:50" x14ac:dyDescent="0.3">
      <c r="D975" s="244"/>
      <c r="E975" s="341" t="str">
        <f>IF(OR(M975="",M975=0,J975="",G975=""),"",
(IF(AND(F968=$P$4,M975&lt;=$R$4),$V$4,0)+IF(AND(F968=$P$5,M975&lt;=$R$5),$V$5,0)+IF(AND(F968=$P$6,M975&lt;=$R$6),$V$6,0)+IF(AND(F968=$P$7,M975&lt;=$R$7),$V$7,0))
)</f>
        <v/>
      </c>
      <c r="F975" s="153" t="s">
        <v>307</v>
      </c>
      <c r="G975" s="616"/>
      <c r="H975" s="617"/>
      <c r="I975" s="618"/>
      <c r="J975" s="616"/>
      <c r="K975" s="617"/>
      <c r="L975" s="618"/>
      <c r="M975" s="255"/>
      <c r="N975" s="256"/>
      <c r="O975" s="388"/>
      <c r="AD975" s="244"/>
      <c r="AE975" s="341" t="str">
        <f>IF(OR(AM975="",AM975=0,AJ975="",AG975=""),"",
(IF(AND(AF968=$P$4,AM975&lt;=$R$4),$V$4,0)+IF(AND(AF968=$P$5,AM975&lt;=$R$5),$V$5,0)+IF(AND(AF968=$P$6,AM975&lt;=$R$6),$V$6,0)+IF(AND(AF968=$P$7,AM975&lt;=$R$7),$V$7,0))
)</f>
        <v/>
      </c>
      <c r="AF975" s="153" t="s">
        <v>307</v>
      </c>
      <c r="AG975" s="598"/>
      <c r="AH975" s="599"/>
      <c r="AI975" s="600"/>
      <c r="AJ975" s="598"/>
      <c r="AK975" s="599"/>
      <c r="AL975" s="600"/>
      <c r="AM975" s="384"/>
      <c r="AN975" s="256"/>
      <c r="AO975" s="388"/>
    </row>
    <row r="976" spans="4:50" x14ac:dyDescent="0.3">
      <c r="D976" s="244"/>
      <c r="E976" s="341" t="str">
        <f>IF(OR(M976="",M976=0,J976="",G976=""),"",
(IF(AND(F968=$P$4,M976&lt;=$R$4),$V$4,0)+IF(AND(F968=$P$5,M976&lt;=$R$5),$V$5,0)+IF(AND(F968=$P$6,M976&lt;=$R$6),$V$6,0)+IF(AND(F968=$P$7,M976&lt;=$R$7),$V$7,0))
)</f>
        <v/>
      </c>
      <c r="F976" s="153" t="s">
        <v>308</v>
      </c>
      <c r="G976" s="616"/>
      <c r="H976" s="617"/>
      <c r="I976" s="618"/>
      <c r="J976" s="616"/>
      <c r="K976" s="617"/>
      <c r="L976" s="618"/>
      <c r="M976" s="255"/>
      <c r="N976" s="256"/>
      <c r="O976" s="388"/>
      <c r="AD976" s="244"/>
      <c r="AE976" s="341" t="str">
        <f>IF(OR(AM976="",AM976=0,AJ976="",AG976=""),"",
(IF(AND(AF968=$P$4,AM976&lt;=$R$4),$V$4,0)+IF(AND(AF968=$P$5,AM976&lt;=$R$5),$V$5,0)+IF(AND(AF968=$P$6,AM976&lt;=$R$6),$V$6,0)+IF(AND(AF968=$P$7,AM976&lt;=$R$7),$V$7,0))
)</f>
        <v/>
      </c>
      <c r="AF976" s="153" t="s">
        <v>308</v>
      </c>
      <c r="AG976" s="598"/>
      <c r="AH976" s="599"/>
      <c r="AI976" s="600"/>
      <c r="AJ976" s="598"/>
      <c r="AK976" s="599"/>
      <c r="AL976" s="600"/>
      <c r="AM976" s="384"/>
      <c r="AN976" s="256"/>
      <c r="AO976" s="388"/>
    </row>
    <row r="977" spans="4:50" ht="16.2" thickBot="1" x14ac:dyDescent="0.35">
      <c r="D977" s="203"/>
      <c r="E977" s="3"/>
      <c r="F977" s="3"/>
      <c r="G977" s="3"/>
      <c r="H977" s="3"/>
      <c r="I977" s="3"/>
      <c r="J977" s="3"/>
      <c r="K977" s="3"/>
      <c r="L977" s="3"/>
      <c r="M977" s="3"/>
      <c r="N977" s="204"/>
      <c r="P977" s="2"/>
      <c r="AD977" s="203"/>
      <c r="AE977" s="3"/>
      <c r="AF977" s="3"/>
      <c r="AG977" s="3"/>
      <c r="AH977" s="3"/>
      <c r="AI977" s="3"/>
      <c r="AJ977" s="3"/>
      <c r="AK977" s="3"/>
      <c r="AL977" s="3"/>
      <c r="AM977" s="3"/>
      <c r="AN977" s="204"/>
      <c r="AP977" s="2"/>
    </row>
    <row r="978" spans="4:50" x14ac:dyDescent="0.3">
      <c r="D978" s="601" t="str">
        <f>IF(
OR(
OR(F980=$P$4,F980=$P$5,F980=$P$6,F980=$P$7),AND(G982="",G983="",G984="",G985="",G986="",G987="",G988="",J982="",J983="",J984="",J985="",J986="",J987="",J988="",M982="",M983="",M984="",M985="",M986="",M987="",M988="",K979="",K980="")
),
"",
"A Set-Aside must be selected."
)</f>
        <v/>
      </c>
      <c r="E978" s="602"/>
      <c r="F978" s="602"/>
      <c r="G978" s="602"/>
      <c r="H978" s="602"/>
      <c r="I978" s="602"/>
      <c r="J978" s="602"/>
      <c r="K978" s="602"/>
      <c r="L978" s="602"/>
      <c r="M978" s="602"/>
      <c r="N978" s="603"/>
      <c r="O978" s="2"/>
      <c r="AD978" s="601" t="str">
        <f>IF(
OR(
OR(AF980=$P$4,AF980=$P$5,AF980=$P$6,AF980=$P$7),AND(AG982="",AG983="",AG984="",AG985="",AG986="",AG987="",AG988="",AJ982="",AJ983="",AJ984="",AJ985="",AJ986="",AJ987="",AJ988="",AM982="",AM983="",AM984="",AM985="",AM986="",AM987="",AM988="",AK979="",AK980="")
),
"",
"A Set-Aside must be selected."
)</f>
        <v/>
      </c>
      <c r="AE978" s="602"/>
      <c r="AF978" s="602"/>
      <c r="AG978" s="602"/>
      <c r="AH978" s="602"/>
      <c r="AI978" s="602"/>
      <c r="AJ978" s="602"/>
      <c r="AK978" s="602"/>
      <c r="AL978" s="602"/>
      <c r="AM978" s="602"/>
      <c r="AN978" s="603"/>
      <c r="AO978" s="2"/>
    </row>
    <row r="979" spans="4:50" ht="15.75" customHeight="1" x14ac:dyDescent="0.3">
      <c r="D979" s="199"/>
      <c r="E979" s="9" t="s">
        <v>30</v>
      </c>
      <c r="F979" s="86">
        <f>F967+1</f>
        <v>79</v>
      </c>
      <c r="G979" s="9" t="s">
        <v>175</v>
      </c>
      <c r="H979" s="9"/>
      <c r="I979" s="9"/>
      <c r="J979" s="168" t="s">
        <v>111</v>
      </c>
      <c r="K979" s="148"/>
      <c r="N979" s="200"/>
      <c r="R979" s="596" t="s">
        <v>302</v>
      </c>
      <c r="S979" s="596" t="s">
        <v>303</v>
      </c>
      <c r="T979" s="596" t="s">
        <v>304</v>
      </c>
      <c r="U979" s="596" t="s">
        <v>305</v>
      </c>
      <c r="V979" s="596" t="s">
        <v>306</v>
      </c>
      <c r="W979" s="596" t="s">
        <v>307</v>
      </c>
      <c r="X979" s="596" t="s">
        <v>308</v>
      </c>
      <c r="AD979" s="199"/>
      <c r="AE979" s="9" t="s">
        <v>30</v>
      </c>
      <c r="AF979" s="86">
        <f>AF967+1</f>
        <v>79</v>
      </c>
      <c r="AG979" s="9" t="s">
        <v>175</v>
      </c>
      <c r="AH979" s="9"/>
      <c r="AI979" s="9"/>
      <c r="AJ979" s="168" t="s">
        <v>111</v>
      </c>
      <c r="AK979" s="382"/>
      <c r="AN979" s="200"/>
      <c r="AR979" s="596" t="s">
        <v>302</v>
      </c>
      <c r="AS979" s="596" t="s">
        <v>303</v>
      </c>
      <c r="AT979" s="596" t="s">
        <v>304</v>
      </c>
      <c r="AU979" s="596" t="s">
        <v>305</v>
      </c>
      <c r="AV979" s="596" t="s">
        <v>306</v>
      </c>
      <c r="AW979" s="596" t="s">
        <v>307</v>
      </c>
      <c r="AX979" s="596" t="s">
        <v>308</v>
      </c>
    </row>
    <row r="980" spans="4:50" x14ac:dyDescent="0.3">
      <c r="D980" s="604" t="s">
        <v>31</v>
      </c>
      <c r="E980" s="594"/>
      <c r="F980" s="151"/>
      <c r="G980" s="86" t="str">
        <f>IF(F980=$P$4,$Q$4,IF(F980=$P$5,$Q$5,IF(F980=$P$6,$Q$6,IF(F980=$P$7,Q$7,IF(F980=$P$8,"","")))))</f>
        <v/>
      </c>
      <c r="H980" s="201"/>
      <c r="I980" s="201"/>
      <c r="J980" s="168" t="s">
        <v>112</v>
      </c>
      <c r="K980" s="148"/>
      <c r="N980" s="200"/>
      <c r="R980" s="596"/>
      <c r="S980" s="596"/>
      <c r="T980" s="596"/>
      <c r="U980" s="596"/>
      <c r="V980" s="596"/>
      <c r="W980" s="596"/>
      <c r="X980" s="596"/>
      <c r="AD980" s="604" t="s">
        <v>31</v>
      </c>
      <c r="AE980" s="594"/>
      <c r="AF980" s="383"/>
      <c r="AG980" s="86" t="str">
        <f>IF(AF980=$P$4,$Q$4,IF(AF980=$P$5,$Q$5,IF(AF980=$P$6,$Q$6,IF(AF980=$P$7,AQ$7,IF(AF980=$P$8,"","")))))</f>
        <v/>
      </c>
      <c r="AH980" s="201"/>
      <c r="AI980" s="201"/>
      <c r="AJ980" s="168" t="s">
        <v>112</v>
      </c>
      <c r="AK980" s="382"/>
      <c r="AN980" s="200"/>
      <c r="AR980" s="596"/>
      <c r="AS980" s="596"/>
      <c r="AT980" s="596"/>
      <c r="AU980" s="596"/>
      <c r="AV980" s="596"/>
      <c r="AW980" s="596"/>
      <c r="AX980" s="596"/>
    </row>
    <row r="981" spans="4:50" x14ac:dyDescent="0.3">
      <c r="D981" s="244"/>
      <c r="E981" s="230" t="s">
        <v>52</v>
      </c>
      <c r="F981" s="9" t="s">
        <v>32</v>
      </c>
      <c r="G981" s="9" t="s">
        <v>33</v>
      </c>
      <c r="H981" s="9"/>
      <c r="I981" s="9"/>
      <c r="J981" s="9" t="s">
        <v>34</v>
      </c>
      <c r="K981" s="9"/>
      <c r="L981" s="9"/>
      <c r="M981" s="257" t="s">
        <v>35</v>
      </c>
      <c r="N981" s="202"/>
      <c r="O981" s="9"/>
      <c r="P981" s="198" t="s">
        <v>22</v>
      </c>
      <c r="Q981" s="198"/>
      <c r="R981" s="596"/>
      <c r="S981" s="596"/>
      <c r="T981" s="596"/>
      <c r="U981" s="596"/>
      <c r="V981" s="596"/>
      <c r="W981" s="596"/>
      <c r="X981" s="596"/>
      <c r="AD981" s="244"/>
      <c r="AE981" s="230" t="s">
        <v>52</v>
      </c>
      <c r="AF981" s="9" t="s">
        <v>32</v>
      </c>
      <c r="AG981" s="9" t="s">
        <v>33</v>
      </c>
      <c r="AH981" s="9"/>
      <c r="AI981" s="9"/>
      <c r="AJ981" s="9" t="s">
        <v>34</v>
      </c>
      <c r="AK981" s="9"/>
      <c r="AL981" s="9"/>
      <c r="AM981" s="257" t="s">
        <v>35</v>
      </c>
      <c r="AN981" s="202"/>
      <c r="AO981" s="9"/>
      <c r="AP981" s="198" t="s">
        <v>22</v>
      </c>
      <c r="AQ981" s="198"/>
      <c r="AR981" s="596"/>
      <c r="AS981" s="596"/>
      <c r="AT981" s="596"/>
      <c r="AU981" s="596"/>
      <c r="AV981" s="596"/>
      <c r="AW981" s="596"/>
      <c r="AX981" s="596"/>
    </row>
    <row r="982" spans="4:50" x14ac:dyDescent="0.3">
      <c r="D982" s="244"/>
      <c r="E982" s="355" t="str">
        <f>IF(OR(M982="",M982=0,J982="",G982=""),"",
(IF(AND(F980=$P$4,M982&lt;=$R$4),$V$4,0)+IF(AND(F980=$P$5,M982&lt;=$R$5),$V$5,0)+IF(AND(F980=$P$6,M982&lt;=$R$6),$V$6,0)+IF(AND(F980=$P$7,M982&lt;=$R$7),$V$7,0))
)</f>
        <v/>
      </c>
      <c r="F982" s="153" t="s">
        <v>302</v>
      </c>
      <c r="G982" s="616"/>
      <c r="H982" s="617"/>
      <c r="I982" s="618"/>
      <c r="J982" s="616"/>
      <c r="K982" s="617"/>
      <c r="L982" s="618"/>
      <c r="M982" s="255"/>
      <c r="N982" s="256"/>
      <c r="O982" s="388"/>
      <c r="P982" s="185">
        <f t="shared" ref="P982" si="1247">IF(F980="",0,1)</f>
        <v>0</v>
      </c>
      <c r="R982" s="185" t="str">
        <f t="shared" ref="R982" si="1248">E982</f>
        <v/>
      </c>
      <c r="S982" s="185" t="str">
        <f t="shared" ref="S982" si="1249">E983</f>
        <v/>
      </c>
      <c r="T982" s="185" t="str">
        <f t="shared" ref="T982" si="1250">E984</f>
        <v/>
      </c>
      <c r="U982" s="185" t="str">
        <f t="shared" ref="U982" si="1251">E985</f>
        <v/>
      </c>
      <c r="V982" s="185" t="str">
        <f t="shared" ref="V982" si="1252">E986</f>
        <v/>
      </c>
      <c r="W982" s="185" t="str">
        <f t="shared" ref="W982" si="1253">E987</f>
        <v/>
      </c>
      <c r="X982" s="185" t="str">
        <f t="shared" ref="X982" si="1254">E988</f>
        <v/>
      </c>
      <c r="AD982" s="244"/>
      <c r="AE982" s="355" t="str">
        <f>IF(OR(AM982="",AM982=0,AJ982="",AG982=""),"",
(IF(AND(AF980=$P$4,AM982&lt;=$R$4),$V$4,0)+IF(AND(AF980=$P$5,AM982&lt;=$R$5),$V$5,0)+IF(AND(AF980=$P$6,AM982&lt;=$R$6),$V$6,0)+IF(AND(AF980=$P$7,AM982&lt;=$R$7),$V$7,0))
)</f>
        <v/>
      </c>
      <c r="AF982" s="153" t="s">
        <v>302</v>
      </c>
      <c r="AG982" s="598"/>
      <c r="AH982" s="599"/>
      <c r="AI982" s="600"/>
      <c r="AJ982" s="598"/>
      <c r="AK982" s="599"/>
      <c r="AL982" s="600"/>
      <c r="AM982" s="384"/>
      <c r="AN982" s="256"/>
      <c r="AO982" s="388"/>
      <c r="AP982" s="185">
        <f t="shared" ref="AP982" si="1255">IF(AF980="",0,1)</f>
        <v>0</v>
      </c>
      <c r="AR982" s="185" t="str">
        <f t="shared" ref="AR982" si="1256">AE982</f>
        <v/>
      </c>
      <c r="AS982" s="185" t="str">
        <f t="shared" ref="AS982" si="1257">AE983</f>
        <v/>
      </c>
      <c r="AT982" s="185" t="str">
        <f t="shared" ref="AT982" si="1258">AE984</f>
        <v/>
      </c>
      <c r="AU982" s="185" t="str">
        <f t="shared" ref="AU982" si="1259">AE985</f>
        <v/>
      </c>
      <c r="AV982" s="185" t="str">
        <f t="shared" ref="AV982" si="1260">AE986</f>
        <v/>
      </c>
      <c r="AW982" s="185" t="str">
        <f t="shared" ref="AW982" si="1261">AE987</f>
        <v/>
      </c>
      <c r="AX982" s="185" t="str">
        <f t="shared" ref="AX982" si="1262">AE988</f>
        <v/>
      </c>
    </row>
    <row r="983" spans="4:50" x14ac:dyDescent="0.3">
      <c r="D983" s="244"/>
      <c r="E983" s="341" t="str">
        <f>IF(OR(M983="",M983=0,J983="",G983=""),"",
(IF(AND(F980=$P$4,M983&lt;=$R$4),$V$4,0)+IF(AND(F980=$P$5,M983&lt;=$R$5),$V$5,0)+IF(AND(F980=$P$6,M983&lt;=$R$6),$V$6,0)+IF(AND(F980=$P$7,M983&lt;=$R$7),$V$7,0))
)</f>
        <v/>
      </c>
      <c r="F983" s="153" t="s">
        <v>303</v>
      </c>
      <c r="G983" s="616"/>
      <c r="H983" s="617"/>
      <c r="I983" s="618"/>
      <c r="J983" s="616"/>
      <c r="K983" s="617"/>
      <c r="L983" s="618"/>
      <c r="M983" s="255"/>
      <c r="N983" s="256"/>
      <c r="O983" s="388"/>
      <c r="AD983" s="244"/>
      <c r="AE983" s="341" t="str">
        <f>IF(OR(AM983="",AM983=0,AJ983="",AG983=""),"",
(IF(AND(AF980=$P$4,AM983&lt;=$R$4),$V$4,0)+IF(AND(AF980=$P$5,AM983&lt;=$R$5),$V$5,0)+IF(AND(AF980=$P$6,AM983&lt;=$R$6),$V$6,0)+IF(AND(AF980=$P$7,AM983&lt;=$R$7),$V$7,0))
)</f>
        <v/>
      </c>
      <c r="AF983" s="153" t="s">
        <v>303</v>
      </c>
      <c r="AG983" s="598"/>
      <c r="AH983" s="599"/>
      <c r="AI983" s="600"/>
      <c r="AJ983" s="598"/>
      <c r="AK983" s="599"/>
      <c r="AL983" s="600"/>
      <c r="AM983" s="384"/>
      <c r="AN983" s="256"/>
      <c r="AO983" s="388"/>
    </row>
    <row r="984" spans="4:50" x14ac:dyDescent="0.3">
      <c r="D984" s="244"/>
      <c r="E984" s="341" t="str">
        <f>IF(OR(M984="",M984=0,J984="",G984=""),"",
(IF(AND(F980=$P$4,M984&lt;=$R$4),$V$4,0)+IF(AND(F980=$P$5,M984&lt;=$R$5),$V$5,0)+IF(AND(F980=$P$6,M984&lt;=$R$6),$V$6,0)+IF(AND(F980=$P$7,M984&lt;=$R$7),$V$7,0))
)</f>
        <v/>
      </c>
      <c r="F984" s="153" t="s">
        <v>304</v>
      </c>
      <c r="G984" s="616"/>
      <c r="H984" s="617"/>
      <c r="I984" s="618"/>
      <c r="J984" s="616"/>
      <c r="K984" s="617"/>
      <c r="L984" s="618"/>
      <c r="M984" s="255"/>
      <c r="N984" s="256"/>
      <c r="O984" s="388"/>
      <c r="AD984" s="244"/>
      <c r="AE984" s="341" t="str">
        <f>IF(OR(AM984="",AM984=0,AJ984="",AG984=""),"",
(IF(AND(AF980=$P$4,AM984&lt;=$R$4),$V$4,0)+IF(AND(AF980=$P$5,AM984&lt;=$R$5),$V$5,0)+IF(AND(AF980=$P$6,AM984&lt;=$R$6),$V$6,0)+IF(AND(AF980=$P$7,AM984&lt;=$R$7),$V$7,0))
)</f>
        <v/>
      </c>
      <c r="AF984" s="153" t="s">
        <v>304</v>
      </c>
      <c r="AG984" s="598"/>
      <c r="AH984" s="599"/>
      <c r="AI984" s="600"/>
      <c r="AJ984" s="598"/>
      <c r="AK984" s="599"/>
      <c r="AL984" s="600"/>
      <c r="AM984" s="384"/>
      <c r="AN984" s="256"/>
      <c r="AO984" s="388"/>
    </row>
    <row r="985" spans="4:50" x14ac:dyDescent="0.3">
      <c r="D985" s="244"/>
      <c r="E985" s="341" t="str">
        <f>IF(OR(M985="",M985=0,J985="",G985=""),"",
(IF(AND(F980=$P$4,M985&lt;=$R$4),$V$4,0)+IF(AND(F980=$P$5,M985&lt;=$R$5),$V$5,0)+IF(AND(F980=$P$6,M985&lt;=$R$6),$V$6,0)+IF(AND(F980=$P$7,M985&lt;=$R$7),$V$7,0))
)</f>
        <v/>
      </c>
      <c r="F985" s="153" t="s">
        <v>305</v>
      </c>
      <c r="G985" s="616"/>
      <c r="H985" s="617"/>
      <c r="I985" s="618"/>
      <c r="J985" s="616"/>
      <c r="K985" s="617"/>
      <c r="L985" s="618"/>
      <c r="M985" s="255"/>
      <c r="N985" s="256"/>
      <c r="O985" s="388"/>
      <c r="AD985" s="244"/>
      <c r="AE985" s="341" t="str">
        <f>IF(OR(AM985="",AM985=0,AJ985="",AG985=""),"",
(IF(AND(AF980=$P$4,AM985&lt;=$R$4),$V$4,0)+IF(AND(AF980=$P$5,AM985&lt;=$R$5),$V$5,0)+IF(AND(AF980=$P$6,AM985&lt;=$R$6),$V$6,0)+IF(AND(AF980=$P$7,AM985&lt;=$R$7),$V$7,0))
)</f>
        <v/>
      </c>
      <c r="AF985" s="153" t="s">
        <v>305</v>
      </c>
      <c r="AG985" s="598"/>
      <c r="AH985" s="599"/>
      <c r="AI985" s="600"/>
      <c r="AJ985" s="598"/>
      <c r="AK985" s="599"/>
      <c r="AL985" s="600"/>
      <c r="AM985" s="384"/>
      <c r="AN985" s="256"/>
      <c r="AO985" s="388"/>
    </row>
    <row r="986" spans="4:50" x14ac:dyDescent="0.3">
      <c r="D986" s="244"/>
      <c r="E986" s="341" t="str">
        <f>IF(OR(M986="",M986=0,J986="",G986=""),"",
(IF(AND(F980=$P$4,M986&lt;=$R$4),$V$4,0)+IF(AND(F980=$P$5,M986&lt;=$R$5),$V$5,0)+IF(AND(F980=$P$6,M986&lt;=$R$6),$V$6,0)+IF(AND(F980=$P$7,M986&lt;=$R$7),$V$7,0))
)</f>
        <v/>
      </c>
      <c r="F986" s="153" t="s">
        <v>306</v>
      </c>
      <c r="G986" s="616"/>
      <c r="H986" s="617"/>
      <c r="I986" s="618"/>
      <c r="J986" s="616"/>
      <c r="K986" s="617"/>
      <c r="L986" s="618"/>
      <c r="M986" s="255"/>
      <c r="N986" s="256"/>
      <c r="O986" s="388"/>
      <c r="AD986" s="244"/>
      <c r="AE986" s="341" t="str">
        <f>IF(OR(AM986="",AM986=0,AJ986="",AG986=""),"",
(IF(AND(AF980=$P$4,AM986&lt;=$R$4),$V$4,0)+IF(AND(AF980=$P$5,AM986&lt;=$R$5),$V$5,0)+IF(AND(AF980=$P$6,AM986&lt;=$R$6),$V$6,0)+IF(AND(AF980=$P$7,AM986&lt;=$R$7),$V$7,0))
)</f>
        <v/>
      </c>
      <c r="AF986" s="153" t="s">
        <v>306</v>
      </c>
      <c r="AG986" s="598"/>
      <c r="AH986" s="599"/>
      <c r="AI986" s="600"/>
      <c r="AJ986" s="598"/>
      <c r="AK986" s="599"/>
      <c r="AL986" s="600"/>
      <c r="AM986" s="384"/>
      <c r="AN986" s="256"/>
      <c r="AO986" s="388"/>
    </row>
    <row r="987" spans="4:50" x14ac:dyDescent="0.3">
      <c r="D987" s="244"/>
      <c r="E987" s="341" t="str">
        <f>IF(OR(M987="",M987=0,J987="",G987=""),"",
(IF(AND(F980=$P$4,M987&lt;=$R$4),$V$4,0)+IF(AND(F980=$P$5,M987&lt;=$R$5),$V$5,0)+IF(AND(F980=$P$6,M987&lt;=$R$6),$V$6,0)+IF(AND(F980=$P$7,M987&lt;=$R$7),$V$7,0))
)</f>
        <v/>
      </c>
      <c r="F987" s="153" t="s">
        <v>307</v>
      </c>
      <c r="G987" s="616"/>
      <c r="H987" s="617"/>
      <c r="I987" s="618"/>
      <c r="J987" s="616"/>
      <c r="K987" s="617"/>
      <c r="L987" s="618"/>
      <c r="M987" s="255"/>
      <c r="N987" s="256"/>
      <c r="O987" s="388"/>
      <c r="AD987" s="244"/>
      <c r="AE987" s="341" t="str">
        <f>IF(OR(AM987="",AM987=0,AJ987="",AG987=""),"",
(IF(AND(AF980=$P$4,AM987&lt;=$R$4),$V$4,0)+IF(AND(AF980=$P$5,AM987&lt;=$R$5),$V$5,0)+IF(AND(AF980=$P$6,AM987&lt;=$R$6),$V$6,0)+IF(AND(AF980=$P$7,AM987&lt;=$R$7),$V$7,0))
)</f>
        <v/>
      </c>
      <c r="AF987" s="153" t="s">
        <v>307</v>
      </c>
      <c r="AG987" s="598"/>
      <c r="AH987" s="599"/>
      <c r="AI987" s="600"/>
      <c r="AJ987" s="598"/>
      <c r="AK987" s="599"/>
      <c r="AL987" s="600"/>
      <c r="AM987" s="384"/>
      <c r="AN987" s="256"/>
      <c r="AO987" s="388"/>
    </row>
    <row r="988" spans="4:50" x14ac:dyDescent="0.3">
      <c r="D988" s="244"/>
      <c r="E988" s="341" t="str">
        <f>IF(OR(M988="",M988=0,J988="",G988=""),"",
(IF(AND(F980=$P$4,M988&lt;=$R$4),$V$4,0)+IF(AND(F980=$P$5,M988&lt;=$R$5),$V$5,0)+IF(AND(F980=$P$6,M988&lt;=$R$6),$V$6,0)+IF(AND(F980=$P$7,M988&lt;=$R$7),$V$7,0))
)</f>
        <v/>
      </c>
      <c r="F988" s="153" t="s">
        <v>308</v>
      </c>
      <c r="G988" s="616"/>
      <c r="H988" s="617"/>
      <c r="I988" s="618"/>
      <c r="J988" s="616"/>
      <c r="K988" s="617"/>
      <c r="L988" s="618"/>
      <c r="M988" s="255"/>
      <c r="N988" s="256"/>
      <c r="O988" s="388"/>
      <c r="AD988" s="244"/>
      <c r="AE988" s="341" t="str">
        <f>IF(OR(AM988="",AM988=0,AJ988="",AG988=""),"",
(IF(AND(AF980=$P$4,AM988&lt;=$R$4),$V$4,0)+IF(AND(AF980=$P$5,AM988&lt;=$R$5),$V$5,0)+IF(AND(AF980=$P$6,AM988&lt;=$R$6),$V$6,0)+IF(AND(AF980=$P$7,AM988&lt;=$R$7),$V$7,0))
)</f>
        <v/>
      </c>
      <c r="AF988" s="153" t="s">
        <v>308</v>
      </c>
      <c r="AG988" s="598"/>
      <c r="AH988" s="599"/>
      <c r="AI988" s="600"/>
      <c r="AJ988" s="598"/>
      <c r="AK988" s="599"/>
      <c r="AL988" s="600"/>
      <c r="AM988" s="384"/>
      <c r="AN988" s="256"/>
      <c r="AO988" s="388"/>
    </row>
    <row r="989" spans="4:50" ht="16.2" thickBot="1" x14ac:dyDescent="0.35">
      <c r="D989" s="203"/>
      <c r="E989" s="3"/>
      <c r="F989" s="3"/>
      <c r="G989" s="3"/>
      <c r="H989" s="3"/>
      <c r="I989" s="3"/>
      <c r="J989" s="3"/>
      <c r="K989" s="3"/>
      <c r="L989" s="3"/>
      <c r="M989" s="3"/>
      <c r="N989" s="204"/>
      <c r="P989" s="2"/>
      <c r="AD989" s="203"/>
      <c r="AE989" s="3"/>
      <c r="AF989" s="3"/>
      <c r="AG989" s="3"/>
      <c r="AH989" s="3"/>
      <c r="AI989" s="3"/>
      <c r="AJ989" s="3"/>
      <c r="AK989" s="3"/>
      <c r="AL989" s="3"/>
      <c r="AM989" s="3"/>
      <c r="AN989" s="204"/>
      <c r="AP989" s="2"/>
    </row>
    <row r="990" spans="4:50" x14ac:dyDescent="0.3">
      <c r="D990" s="601" t="str">
        <f>IF(
OR(
OR(F992=$P$4,F992=$P$5,F992=$P$6,F992=$P$7),AND(G994="",G995="",G996="",G997="",G998="",G999="",G1000="",J994="",J995="",J996="",J997="",J998="",J999="",J1000="",M994="",M995="",M996="",M997="",M998="",M999="",M1000="",K991="",K992="")
),
"",
"A Set-Aside must be selected."
)</f>
        <v/>
      </c>
      <c r="E990" s="602"/>
      <c r="F990" s="602"/>
      <c r="G990" s="602"/>
      <c r="H990" s="602"/>
      <c r="I990" s="602"/>
      <c r="J990" s="602"/>
      <c r="K990" s="602"/>
      <c r="L990" s="602"/>
      <c r="M990" s="602"/>
      <c r="N990" s="603"/>
      <c r="O990" s="2"/>
      <c r="AD990" s="601" t="str">
        <f>IF(
OR(
OR(AF992=$P$4,AF992=$P$5,AF992=$P$6,AF992=$P$7),AND(AG994="",AG995="",AG996="",AG997="",AG998="",AG999="",AG1000="",AJ994="",AJ995="",AJ996="",AJ997="",AJ998="",AJ999="",AJ1000="",AM994="",AM995="",AM996="",AM997="",AM998="",AM999="",AM1000="",AK991="",AK992="")
),
"",
"A Set-Aside must be selected."
)</f>
        <v/>
      </c>
      <c r="AE990" s="602"/>
      <c r="AF990" s="602"/>
      <c r="AG990" s="602"/>
      <c r="AH990" s="602"/>
      <c r="AI990" s="602"/>
      <c r="AJ990" s="602"/>
      <c r="AK990" s="602"/>
      <c r="AL990" s="602"/>
      <c r="AM990" s="602"/>
      <c r="AN990" s="603"/>
      <c r="AO990" s="2"/>
    </row>
    <row r="991" spans="4:50" ht="15.75" customHeight="1" x14ac:dyDescent="0.3">
      <c r="D991" s="199"/>
      <c r="E991" s="9" t="s">
        <v>30</v>
      </c>
      <c r="F991" s="86">
        <f>F979+1</f>
        <v>80</v>
      </c>
      <c r="G991" s="9" t="s">
        <v>175</v>
      </c>
      <c r="H991" s="9"/>
      <c r="I991" s="9"/>
      <c r="J991" s="168" t="s">
        <v>111</v>
      </c>
      <c r="K991" s="148"/>
      <c r="N991" s="200"/>
      <c r="R991" s="596" t="s">
        <v>302</v>
      </c>
      <c r="S991" s="596" t="s">
        <v>303</v>
      </c>
      <c r="T991" s="596" t="s">
        <v>304</v>
      </c>
      <c r="U991" s="596" t="s">
        <v>305</v>
      </c>
      <c r="V991" s="596" t="s">
        <v>306</v>
      </c>
      <c r="W991" s="596" t="s">
        <v>307</v>
      </c>
      <c r="X991" s="596" t="s">
        <v>308</v>
      </c>
      <c r="AD991" s="199"/>
      <c r="AE991" s="9" t="s">
        <v>30</v>
      </c>
      <c r="AF991" s="86">
        <f>AF979+1</f>
        <v>80</v>
      </c>
      <c r="AG991" s="9" t="s">
        <v>175</v>
      </c>
      <c r="AH991" s="9"/>
      <c r="AI991" s="9"/>
      <c r="AJ991" s="168" t="s">
        <v>111</v>
      </c>
      <c r="AK991" s="382"/>
      <c r="AN991" s="200"/>
      <c r="AR991" s="596" t="s">
        <v>302</v>
      </c>
      <c r="AS991" s="596" t="s">
        <v>303</v>
      </c>
      <c r="AT991" s="596" t="s">
        <v>304</v>
      </c>
      <c r="AU991" s="596" t="s">
        <v>305</v>
      </c>
      <c r="AV991" s="596" t="s">
        <v>306</v>
      </c>
      <c r="AW991" s="596" t="s">
        <v>307</v>
      </c>
      <c r="AX991" s="596" t="s">
        <v>308</v>
      </c>
    </row>
    <row r="992" spans="4:50" x14ac:dyDescent="0.3">
      <c r="D992" s="604" t="s">
        <v>31</v>
      </c>
      <c r="E992" s="594"/>
      <c r="F992" s="151"/>
      <c r="G992" s="86" t="str">
        <f>IF(F992=$P$4,$Q$4,IF(F992=$P$5,$Q$5,IF(F992=$P$6,$Q$6,IF(F992=$P$7,Q$7,IF(F992=$P$8,"","")))))</f>
        <v/>
      </c>
      <c r="H992" s="201"/>
      <c r="I992" s="201"/>
      <c r="J992" s="168" t="s">
        <v>112</v>
      </c>
      <c r="K992" s="148"/>
      <c r="N992" s="200"/>
      <c r="R992" s="596"/>
      <c r="S992" s="596"/>
      <c r="T992" s="596"/>
      <c r="U992" s="596"/>
      <c r="V992" s="596"/>
      <c r="W992" s="596"/>
      <c r="X992" s="596"/>
      <c r="AD992" s="604" t="s">
        <v>31</v>
      </c>
      <c r="AE992" s="594"/>
      <c r="AF992" s="383"/>
      <c r="AG992" s="86" t="str">
        <f>IF(AF992=$P$4,$Q$4,IF(AF992=$P$5,$Q$5,IF(AF992=$P$6,$Q$6,IF(AF992=$P$7,AQ$7,IF(AF992=$P$8,"","")))))</f>
        <v/>
      </c>
      <c r="AH992" s="201"/>
      <c r="AI992" s="201"/>
      <c r="AJ992" s="168" t="s">
        <v>112</v>
      </c>
      <c r="AK992" s="382"/>
      <c r="AN992" s="200"/>
      <c r="AR992" s="596"/>
      <c r="AS992" s="596"/>
      <c r="AT992" s="596"/>
      <c r="AU992" s="596"/>
      <c r="AV992" s="596"/>
      <c r="AW992" s="596"/>
      <c r="AX992" s="596"/>
    </row>
    <row r="993" spans="4:50" x14ac:dyDescent="0.3">
      <c r="D993" s="244"/>
      <c r="E993" s="230" t="s">
        <v>52</v>
      </c>
      <c r="F993" s="9" t="s">
        <v>32</v>
      </c>
      <c r="G993" s="9" t="s">
        <v>33</v>
      </c>
      <c r="H993" s="9"/>
      <c r="I993" s="9"/>
      <c r="J993" s="9" t="s">
        <v>34</v>
      </c>
      <c r="K993" s="9"/>
      <c r="L993" s="9"/>
      <c r="M993" s="257" t="s">
        <v>35</v>
      </c>
      <c r="N993" s="202"/>
      <c r="O993" s="9"/>
      <c r="P993" s="198" t="s">
        <v>22</v>
      </c>
      <c r="Q993" s="198"/>
      <c r="R993" s="596"/>
      <c r="S993" s="596"/>
      <c r="T993" s="596"/>
      <c r="U993" s="596"/>
      <c r="V993" s="596"/>
      <c r="W993" s="596"/>
      <c r="X993" s="596"/>
      <c r="AD993" s="244"/>
      <c r="AE993" s="230" t="s">
        <v>52</v>
      </c>
      <c r="AF993" s="9" t="s">
        <v>32</v>
      </c>
      <c r="AG993" s="9" t="s">
        <v>33</v>
      </c>
      <c r="AH993" s="9"/>
      <c r="AI993" s="9"/>
      <c r="AJ993" s="9" t="s">
        <v>34</v>
      </c>
      <c r="AK993" s="9"/>
      <c r="AL993" s="9"/>
      <c r="AM993" s="257" t="s">
        <v>35</v>
      </c>
      <c r="AN993" s="202"/>
      <c r="AO993" s="9"/>
      <c r="AP993" s="198" t="s">
        <v>22</v>
      </c>
      <c r="AQ993" s="198"/>
      <c r="AR993" s="596"/>
      <c r="AS993" s="596"/>
      <c r="AT993" s="596"/>
      <c r="AU993" s="596"/>
      <c r="AV993" s="596"/>
      <c r="AW993" s="596"/>
      <c r="AX993" s="596"/>
    </row>
    <row r="994" spans="4:50" x14ac:dyDescent="0.3">
      <c r="D994" s="244"/>
      <c r="E994" s="355" t="str">
        <f>IF(OR(M994="",M994=0,J994="",G994=""),"",
(IF(AND(F992=$P$4,M994&lt;=$R$4),$V$4,0)+IF(AND(F992=$P$5,M994&lt;=$R$5),$V$5,0)+IF(AND(F992=$P$6,M994&lt;=$R$6),$V$6,0)+IF(AND(F992=$P$7,M994&lt;=$R$7),$V$7,0))
)</f>
        <v/>
      </c>
      <c r="F994" s="153" t="s">
        <v>302</v>
      </c>
      <c r="G994" s="616"/>
      <c r="H994" s="617"/>
      <c r="I994" s="618"/>
      <c r="J994" s="616"/>
      <c r="K994" s="617"/>
      <c r="L994" s="618"/>
      <c r="M994" s="255"/>
      <c r="N994" s="256"/>
      <c r="O994" s="388"/>
      <c r="P994" s="185">
        <f t="shared" ref="P994" si="1263">IF(F992="",0,1)</f>
        <v>0</v>
      </c>
      <c r="R994" s="185" t="str">
        <f t="shared" ref="R994" si="1264">E994</f>
        <v/>
      </c>
      <c r="S994" s="185" t="str">
        <f t="shared" ref="S994" si="1265">E995</f>
        <v/>
      </c>
      <c r="T994" s="185" t="str">
        <f t="shared" ref="T994" si="1266">E996</f>
        <v/>
      </c>
      <c r="U994" s="185" t="str">
        <f t="shared" ref="U994" si="1267">E997</f>
        <v/>
      </c>
      <c r="V994" s="185" t="str">
        <f t="shared" ref="V994" si="1268">E998</f>
        <v/>
      </c>
      <c r="W994" s="185" t="str">
        <f t="shared" ref="W994" si="1269">E999</f>
        <v/>
      </c>
      <c r="X994" s="185" t="str">
        <f t="shared" ref="X994" si="1270">E1000</f>
        <v/>
      </c>
      <c r="AD994" s="244"/>
      <c r="AE994" s="355" t="str">
        <f>IF(OR(AM994="",AM994=0,AJ994="",AG994=""),"",
(IF(AND(AF992=$P$4,AM994&lt;=$R$4),$V$4,0)+IF(AND(AF992=$P$5,AM994&lt;=$R$5),$V$5,0)+IF(AND(AF992=$P$6,AM994&lt;=$R$6),$V$6,0)+IF(AND(AF992=$P$7,AM994&lt;=$R$7),$V$7,0))
)</f>
        <v/>
      </c>
      <c r="AF994" s="153" t="s">
        <v>302</v>
      </c>
      <c r="AG994" s="598"/>
      <c r="AH994" s="599"/>
      <c r="AI994" s="600"/>
      <c r="AJ994" s="598"/>
      <c r="AK994" s="599"/>
      <c r="AL994" s="600"/>
      <c r="AM994" s="384"/>
      <c r="AN994" s="256"/>
      <c r="AO994" s="388"/>
      <c r="AP994" s="185">
        <f t="shared" ref="AP994" si="1271">IF(AF992="",0,1)</f>
        <v>0</v>
      </c>
      <c r="AR994" s="185" t="str">
        <f t="shared" ref="AR994" si="1272">AE994</f>
        <v/>
      </c>
      <c r="AS994" s="185" t="str">
        <f t="shared" ref="AS994" si="1273">AE995</f>
        <v/>
      </c>
      <c r="AT994" s="185" t="str">
        <f t="shared" ref="AT994" si="1274">AE996</f>
        <v/>
      </c>
      <c r="AU994" s="185" t="str">
        <f t="shared" ref="AU994" si="1275">AE997</f>
        <v/>
      </c>
      <c r="AV994" s="185" t="str">
        <f t="shared" ref="AV994" si="1276">AE998</f>
        <v/>
      </c>
      <c r="AW994" s="185" t="str">
        <f t="shared" ref="AW994" si="1277">AE999</f>
        <v/>
      </c>
      <c r="AX994" s="185" t="str">
        <f t="shared" ref="AX994" si="1278">AE1000</f>
        <v/>
      </c>
    </row>
    <row r="995" spans="4:50" x14ac:dyDescent="0.3">
      <c r="D995" s="244"/>
      <c r="E995" s="341" t="str">
        <f>IF(OR(M995="",M995=0,J995="",G995=""),"",
(IF(AND(F992=$P$4,M995&lt;=$R$4),$V$4,0)+IF(AND(F992=$P$5,M995&lt;=$R$5),$V$5,0)+IF(AND(F992=$P$6,M995&lt;=$R$6),$V$6,0)+IF(AND(F992=$P$7,M995&lt;=$R$7),$V$7,0))
)</f>
        <v/>
      </c>
      <c r="F995" s="153" t="s">
        <v>303</v>
      </c>
      <c r="G995" s="616"/>
      <c r="H995" s="617"/>
      <c r="I995" s="618"/>
      <c r="J995" s="616"/>
      <c r="K995" s="617"/>
      <c r="L995" s="618"/>
      <c r="M995" s="255"/>
      <c r="N995" s="256"/>
      <c r="O995" s="388"/>
      <c r="AD995" s="244"/>
      <c r="AE995" s="341" t="str">
        <f>IF(OR(AM995="",AM995=0,AJ995="",AG995=""),"",
(IF(AND(AF992=$P$4,AM995&lt;=$R$4),$V$4,0)+IF(AND(AF992=$P$5,AM995&lt;=$R$5),$V$5,0)+IF(AND(AF992=$P$6,AM995&lt;=$R$6),$V$6,0)+IF(AND(AF992=$P$7,AM995&lt;=$R$7),$V$7,0))
)</f>
        <v/>
      </c>
      <c r="AF995" s="153" t="s">
        <v>303</v>
      </c>
      <c r="AG995" s="598"/>
      <c r="AH995" s="599"/>
      <c r="AI995" s="600"/>
      <c r="AJ995" s="598"/>
      <c r="AK995" s="599"/>
      <c r="AL995" s="600"/>
      <c r="AM995" s="384"/>
      <c r="AN995" s="256"/>
      <c r="AO995" s="388"/>
    </row>
    <row r="996" spans="4:50" x14ac:dyDescent="0.3">
      <c r="D996" s="244"/>
      <c r="E996" s="341" t="str">
        <f>IF(OR(M996="",M996=0,J996="",G996=""),"",
(IF(AND(F992=$P$4,M996&lt;=$R$4),$V$4,0)+IF(AND(F992=$P$5,M996&lt;=$R$5),$V$5,0)+IF(AND(F992=$P$6,M996&lt;=$R$6),$V$6,0)+IF(AND(F992=$P$7,M996&lt;=$R$7),$V$7,0))
)</f>
        <v/>
      </c>
      <c r="F996" s="153" t="s">
        <v>304</v>
      </c>
      <c r="G996" s="616"/>
      <c r="H996" s="617"/>
      <c r="I996" s="618"/>
      <c r="J996" s="616"/>
      <c r="K996" s="617"/>
      <c r="L996" s="618"/>
      <c r="M996" s="255"/>
      <c r="N996" s="256"/>
      <c r="O996" s="388"/>
      <c r="AD996" s="244"/>
      <c r="AE996" s="341" t="str">
        <f>IF(OR(AM996="",AM996=0,AJ996="",AG996=""),"",
(IF(AND(AF992=$P$4,AM996&lt;=$R$4),$V$4,0)+IF(AND(AF992=$P$5,AM996&lt;=$R$5),$V$5,0)+IF(AND(AF992=$P$6,AM996&lt;=$R$6),$V$6,0)+IF(AND(AF992=$P$7,AM996&lt;=$R$7),$V$7,0))
)</f>
        <v/>
      </c>
      <c r="AF996" s="153" t="s">
        <v>304</v>
      </c>
      <c r="AG996" s="598"/>
      <c r="AH996" s="599"/>
      <c r="AI996" s="600"/>
      <c r="AJ996" s="598"/>
      <c r="AK996" s="599"/>
      <c r="AL996" s="600"/>
      <c r="AM996" s="384"/>
      <c r="AN996" s="256"/>
      <c r="AO996" s="388"/>
    </row>
    <row r="997" spans="4:50" x14ac:dyDescent="0.3">
      <c r="D997" s="244"/>
      <c r="E997" s="341" t="str">
        <f>IF(OR(M997="",M997=0,J997="",G997=""),"",
(IF(AND(F992=$P$4,M997&lt;=$R$4),$V$4,0)+IF(AND(F992=$P$5,M997&lt;=$R$5),$V$5,0)+IF(AND(F992=$P$6,M997&lt;=$R$6),$V$6,0)+IF(AND(F992=$P$7,M997&lt;=$R$7),$V$7,0))
)</f>
        <v/>
      </c>
      <c r="F997" s="153" t="s">
        <v>305</v>
      </c>
      <c r="G997" s="616"/>
      <c r="H997" s="617"/>
      <c r="I997" s="618"/>
      <c r="J997" s="616"/>
      <c r="K997" s="617"/>
      <c r="L997" s="618"/>
      <c r="M997" s="255"/>
      <c r="N997" s="256"/>
      <c r="O997" s="388"/>
      <c r="AD997" s="244"/>
      <c r="AE997" s="341" t="str">
        <f>IF(OR(AM997="",AM997=0,AJ997="",AG997=""),"",
(IF(AND(AF992=$P$4,AM997&lt;=$R$4),$V$4,0)+IF(AND(AF992=$P$5,AM997&lt;=$R$5),$V$5,0)+IF(AND(AF992=$P$6,AM997&lt;=$R$6),$V$6,0)+IF(AND(AF992=$P$7,AM997&lt;=$R$7),$V$7,0))
)</f>
        <v/>
      </c>
      <c r="AF997" s="153" t="s">
        <v>305</v>
      </c>
      <c r="AG997" s="598"/>
      <c r="AH997" s="599"/>
      <c r="AI997" s="600"/>
      <c r="AJ997" s="598"/>
      <c r="AK997" s="599"/>
      <c r="AL997" s="600"/>
      <c r="AM997" s="384"/>
      <c r="AN997" s="256"/>
      <c r="AO997" s="388"/>
    </row>
    <row r="998" spans="4:50" x14ac:dyDescent="0.3">
      <c r="D998" s="244"/>
      <c r="E998" s="341" t="str">
        <f>IF(OR(M998="",M998=0,J998="",G998=""),"",
(IF(AND(F992=$P$4,M998&lt;=$R$4),$V$4,0)+IF(AND(F992=$P$5,M998&lt;=$R$5),$V$5,0)+IF(AND(F992=$P$6,M998&lt;=$R$6),$V$6,0)+IF(AND(F992=$P$7,M998&lt;=$R$7),$V$7,0))
)</f>
        <v/>
      </c>
      <c r="F998" s="153" t="s">
        <v>306</v>
      </c>
      <c r="G998" s="616"/>
      <c r="H998" s="617"/>
      <c r="I998" s="618"/>
      <c r="J998" s="616"/>
      <c r="K998" s="617"/>
      <c r="L998" s="618"/>
      <c r="M998" s="255"/>
      <c r="N998" s="256"/>
      <c r="O998" s="388"/>
      <c r="AD998" s="244"/>
      <c r="AE998" s="341" t="str">
        <f>IF(OR(AM998="",AM998=0,AJ998="",AG998=""),"",
(IF(AND(AF992=$P$4,AM998&lt;=$R$4),$V$4,0)+IF(AND(AF992=$P$5,AM998&lt;=$R$5),$V$5,0)+IF(AND(AF992=$P$6,AM998&lt;=$R$6),$V$6,0)+IF(AND(AF992=$P$7,AM998&lt;=$R$7),$V$7,0))
)</f>
        <v/>
      </c>
      <c r="AF998" s="153" t="s">
        <v>306</v>
      </c>
      <c r="AG998" s="598"/>
      <c r="AH998" s="599"/>
      <c r="AI998" s="600"/>
      <c r="AJ998" s="598"/>
      <c r="AK998" s="599"/>
      <c r="AL998" s="600"/>
      <c r="AM998" s="384"/>
      <c r="AN998" s="256"/>
      <c r="AO998" s="388"/>
    </row>
    <row r="999" spans="4:50" x14ac:dyDescent="0.3">
      <c r="D999" s="244"/>
      <c r="E999" s="341" t="str">
        <f>IF(OR(M999="",M999=0,J999="",G999=""),"",
(IF(AND(F992=$P$4,M999&lt;=$R$4),$V$4,0)+IF(AND(F992=$P$5,M999&lt;=$R$5),$V$5,0)+IF(AND(F992=$P$6,M999&lt;=$R$6),$V$6,0)+IF(AND(F992=$P$7,M999&lt;=$R$7),$V$7,0))
)</f>
        <v/>
      </c>
      <c r="F999" s="153" t="s">
        <v>307</v>
      </c>
      <c r="G999" s="616"/>
      <c r="H999" s="617"/>
      <c r="I999" s="618"/>
      <c r="J999" s="616"/>
      <c r="K999" s="617"/>
      <c r="L999" s="618"/>
      <c r="M999" s="255"/>
      <c r="N999" s="256"/>
      <c r="O999" s="388"/>
      <c r="AD999" s="244"/>
      <c r="AE999" s="341" t="str">
        <f>IF(OR(AM999="",AM999=0,AJ999="",AG999=""),"",
(IF(AND(AF992=$P$4,AM999&lt;=$R$4),$V$4,0)+IF(AND(AF992=$P$5,AM999&lt;=$R$5),$V$5,0)+IF(AND(AF992=$P$6,AM999&lt;=$R$6),$V$6,0)+IF(AND(AF992=$P$7,AM999&lt;=$R$7),$V$7,0))
)</f>
        <v/>
      </c>
      <c r="AF999" s="153" t="s">
        <v>307</v>
      </c>
      <c r="AG999" s="598"/>
      <c r="AH999" s="599"/>
      <c r="AI999" s="600"/>
      <c r="AJ999" s="598"/>
      <c r="AK999" s="599"/>
      <c r="AL999" s="600"/>
      <c r="AM999" s="384"/>
      <c r="AN999" s="256"/>
      <c r="AO999" s="388"/>
    </row>
    <row r="1000" spans="4:50" x14ac:dyDescent="0.3">
      <c r="D1000" s="244"/>
      <c r="E1000" s="341" t="str">
        <f>IF(OR(M1000="",M1000=0,J1000="",G1000=""),"",
(IF(AND(F992=$P$4,M1000&lt;=$R$4),$V$4,0)+IF(AND(F992=$P$5,M1000&lt;=$R$5),$V$5,0)+IF(AND(F992=$P$6,M1000&lt;=$R$6),$V$6,0)+IF(AND(F992=$P$7,M1000&lt;=$R$7),$V$7,0))
)</f>
        <v/>
      </c>
      <c r="F1000" s="153" t="s">
        <v>308</v>
      </c>
      <c r="G1000" s="616"/>
      <c r="H1000" s="617"/>
      <c r="I1000" s="618"/>
      <c r="J1000" s="616"/>
      <c r="K1000" s="617"/>
      <c r="L1000" s="618"/>
      <c r="M1000" s="255"/>
      <c r="N1000" s="256"/>
      <c r="O1000" s="388"/>
      <c r="AD1000" s="244"/>
      <c r="AE1000" s="341" t="str">
        <f>IF(OR(AM1000="",AM1000=0,AJ1000="",AG1000=""),"",
(IF(AND(AF992=$P$4,AM1000&lt;=$R$4),$V$4,0)+IF(AND(AF992=$P$5,AM1000&lt;=$R$5),$V$5,0)+IF(AND(AF992=$P$6,AM1000&lt;=$R$6),$V$6,0)+IF(AND(AF992=$P$7,AM1000&lt;=$R$7),$V$7,0))
)</f>
        <v/>
      </c>
      <c r="AF1000" s="153" t="s">
        <v>308</v>
      </c>
      <c r="AG1000" s="598"/>
      <c r="AH1000" s="599"/>
      <c r="AI1000" s="600"/>
      <c r="AJ1000" s="598"/>
      <c r="AK1000" s="599"/>
      <c r="AL1000" s="600"/>
      <c r="AM1000" s="384"/>
      <c r="AN1000" s="256"/>
      <c r="AO1000" s="388"/>
    </row>
    <row r="1001" spans="4:50" ht="16.2" thickBot="1" x14ac:dyDescent="0.35">
      <c r="D1001" s="203"/>
      <c r="E1001" s="3"/>
      <c r="F1001" s="3"/>
      <c r="G1001" s="3"/>
      <c r="H1001" s="3"/>
      <c r="I1001" s="3"/>
      <c r="J1001" s="3"/>
      <c r="K1001" s="3"/>
      <c r="L1001" s="3"/>
      <c r="M1001" s="3"/>
      <c r="N1001" s="204"/>
      <c r="P1001" s="2"/>
      <c r="AD1001" s="203"/>
      <c r="AE1001" s="3"/>
      <c r="AF1001" s="3"/>
      <c r="AG1001" s="3"/>
      <c r="AH1001" s="3"/>
      <c r="AI1001" s="3"/>
      <c r="AJ1001" s="3"/>
      <c r="AK1001" s="3"/>
      <c r="AL1001" s="3"/>
      <c r="AM1001" s="3"/>
      <c r="AN1001" s="204"/>
      <c r="AP1001" s="2"/>
    </row>
    <row r="1002" spans="4:50" x14ac:dyDescent="0.3">
      <c r="D1002" s="601" t="str">
        <f>IF(
OR(
OR(F1004=$P$4,F1004=$P$5,F1004=$P$6,F1004=$P$7),AND(G1006="",G1007="",G1008="",G1009="",G1010="",G1011="",G1012="",J1006="",J1007="",J1008="",J1009="",J1010="",J1011="",J1012="",M1006="",M1007="",M1008="",M1009="",M1010="",M1011="",M1012="",K1003="",K1004="")
),
"",
"A Set-Aside must be selected."
)</f>
        <v/>
      </c>
      <c r="E1002" s="602"/>
      <c r="F1002" s="602"/>
      <c r="G1002" s="602"/>
      <c r="H1002" s="602"/>
      <c r="I1002" s="602"/>
      <c r="J1002" s="602"/>
      <c r="K1002" s="602"/>
      <c r="L1002" s="602"/>
      <c r="M1002" s="602"/>
      <c r="N1002" s="603"/>
      <c r="O1002" s="2"/>
      <c r="AD1002" s="601" t="str">
        <f>IF(
OR(
OR(AF1004=$P$4,AF1004=$P$5,AF1004=$P$6,AF1004=$P$7),AND(AG1006="",AG1007="",AG1008="",AG1009="",AG1010="",AG1011="",AG1012="",AJ1006="",AJ1007="",AJ1008="",AJ1009="",AJ1010="",AJ1011="",AJ1012="",AM1006="",AM1007="",AM1008="",AM1009="",AM1010="",AM1011="",AM1012="",AK1003="",AK1004="")
),
"",
"A Set-Aside must be selected."
)</f>
        <v/>
      </c>
      <c r="AE1002" s="602"/>
      <c r="AF1002" s="602"/>
      <c r="AG1002" s="602"/>
      <c r="AH1002" s="602"/>
      <c r="AI1002" s="602"/>
      <c r="AJ1002" s="602"/>
      <c r="AK1002" s="602"/>
      <c r="AL1002" s="602"/>
      <c r="AM1002" s="602"/>
      <c r="AN1002" s="603"/>
      <c r="AO1002" s="2"/>
    </row>
    <row r="1003" spans="4:50" ht="15.75" customHeight="1" x14ac:dyDescent="0.3">
      <c r="D1003" s="199"/>
      <c r="E1003" s="9" t="s">
        <v>30</v>
      </c>
      <c r="F1003" s="86">
        <f>F991+1</f>
        <v>81</v>
      </c>
      <c r="G1003" s="9" t="s">
        <v>175</v>
      </c>
      <c r="H1003" s="9"/>
      <c r="I1003" s="9"/>
      <c r="J1003" s="168" t="s">
        <v>111</v>
      </c>
      <c r="K1003" s="148"/>
      <c r="N1003" s="200"/>
      <c r="R1003" s="596" t="s">
        <v>302</v>
      </c>
      <c r="S1003" s="596" t="s">
        <v>303</v>
      </c>
      <c r="T1003" s="596" t="s">
        <v>304</v>
      </c>
      <c r="U1003" s="596" t="s">
        <v>305</v>
      </c>
      <c r="V1003" s="596" t="s">
        <v>306</v>
      </c>
      <c r="W1003" s="596" t="s">
        <v>307</v>
      </c>
      <c r="X1003" s="596" t="s">
        <v>308</v>
      </c>
      <c r="AD1003" s="199"/>
      <c r="AE1003" s="9" t="s">
        <v>30</v>
      </c>
      <c r="AF1003" s="86">
        <f>AF991+1</f>
        <v>81</v>
      </c>
      <c r="AG1003" s="9" t="s">
        <v>175</v>
      </c>
      <c r="AH1003" s="9"/>
      <c r="AI1003" s="9"/>
      <c r="AJ1003" s="168" t="s">
        <v>111</v>
      </c>
      <c r="AK1003" s="382"/>
      <c r="AN1003" s="200"/>
      <c r="AR1003" s="596" t="s">
        <v>302</v>
      </c>
      <c r="AS1003" s="596" t="s">
        <v>303</v>
      </c>
      <c r="AT1003" s="596" t="s">
        <v>304</v>
      </c>
      <c r="AU1003" s="596" t="s">
        <v>305</v>
      </c>
      <c r="AV1003" s="596" t="s">
        <v>306</v>
      </c>
      <c r="AW1003" s="596" t="s">
        <v>307</v>
      </c>
      <c r="AX1003" s="596" t="s">
        <v>308</v>
      </c>
    </row>
    <row r="1004" spans="4:50" x14ac:dyDescent="0.3">
      <c r="D1004" s="604" t="s">
        <v>31</v>
      </c>
      <c r="E1004" s="594"/>
      <c r="F1004" s="151"/>
      <c r="G1004" s="86" t="str">
        <f>IF(F1004=$P$4,$Q$4,IF(F1004=$P$5,$Q$5,IF(F1004=$P$6,$Q$6,IF(F1004=$P$7,Q$7,IF(F1004=$P$8,"","")))))</f>
        <v/>
      </c>
      <c r="H1004" s="201"/>
      <c r="I1004" s="201"/>
      <c r="J1004" s="168" t="s">
        <v>112</v>
      </c>
      <c r="K1004" s="148"/>
      <c r="N1004" s="200"/>
      <c r="R1004" s="596"/>
      <c r="S1004" s="596"/>
      <c r="T1004" s="596"/>
      <c r="U1004" s="596"/>
      <c r="V1004" s="596"/>
      <c r="W1004" s="596"/>
      <c r="X1004" s="596"/>
      <c r="AD1004" s="604" t="s">
        <v>31</v>
      </c>
      <c r="AE1004" s="594"/>
      <c r="AF1004" s="383"/>
      <c r="AG1004" s="86" t="str">
        <f>IF(AF1004=$P$4,$Q$4,IF(AF1004=$P$5,$Q$5,IF(AF1004=$P$6,$Q$6,IF(AF1004=$P$7,AQ$7,IF(AF1004=$P$8,"","")))))</f>
        <v/>
      </c>
      <c r="AH1004" s="201"/>
      <c r="AI1004" s="201"/>
      <c r="AJ1004" s="168" t="s">
        <v>112</v>
      </c>
      <c r="AK1004" s="382"/>
      <c r="AN1004" s="200"/>
      <c r="AR1004" s="596"/>
      <c r="AS1004" s="596"/>
      <c r="AT1004" s="596"/>
      <c r="AU1004" s="596"/>
      <c r="AV1004" s="596"/>
      <c r="AW1004" s="596"/>
      <c r="AX1004" s="596"/>
    </row>
    <row r="1005" spans="4:50" x14ac:dyDescent="0.3">
      <c r="D1005" s="244"/>
      <c r="E1005" s="230" t="s">
        <v>52</v>
      </c>
      <c r="F1005" s="9" t="s">
        <v>32</v>
      </c>
      <c r="G1005" s="9" t="s">
        <v>33</v>
      </c>
      <c r="H1005" s="9"/>
      <c r="I1005" s="9"/>
      <c r="J1005" s="9" t="s">
        <v>34</v>
      </c>
      <c r="K1005" s="9"/>
      <c r="L1005" s="9"/>
      <c r="M1005" s="257" t="s">
        <v>35</v>
      </c>
      <c r="N1005" s="202"/>
      <c r="O1005" s="9"/>
      <c r="P1005" s="198" t="s">
        <v>22</v>
      </c>
      <c r="Q1005" s="198"/>
      <c r="R1005" s="596"/>
      <c r="S1005" s="596"/>
      <c r="T1005" s="596"/>
      <c r="U1005" s="596"/>
      <c r="V1005" s="596"/>
      <c r="W1005" s="596"/>
      <c r="X1005" s="596"/>
      <c r="AD1005" s="244"/>
      <c r="AE1005" s="230" t="s">
        <v>52</v>
      </c>
      <c r="AF1005" s="9" t="s">
        <v>32</v>
      </c>
      <c r="AG1005" s="9" t="s">
        <v>33</v>
      </c>
      <c r="AH1005" s="9"/>
      <c r="AI1005" s="9"/>
      <c r="AJ1005" s="9" t="s">
        <v>34</v>
      </c>
      <c r="AK1005" s="9"/>
      <c r="AL1005" s="9"/>
      <c r="AM1005" s="257" t="s">
        <v>35</v>
      </c>
      <c r="AN1005" s="202"/>
      <c r="AO1005" s="9"/>
      <c r="AP1005" s="198" t="s">
        <v>22</v>
      </c>
      <c r="AQ1005" s="198"/>
      <c r="AR1005" s="596"/>
      <c r="AS1005" s="596"/>
      <c r="AT1005" s="596"/>
      <c r="AU1005" s="596"/>
      <c r="AV1005" s="596"/>
      <c r="AW1005" s="596"/>
      <c r="AX1005" s="596"/>
    </row>
    <row r="1006" spans="4:50" x14ac:dyDescent="0.3">
      <c r="D1006" s="244"/>
      <c r="E1006" s="355" t="str">
        <f>IF(OR(M1006="",M1006=0,J1006="",G1006=""),"",
(IF(AND(F1004=$P$4,M1006&lt;=$R$4),$V$4,0)+IF(AND(F1004=$P$5,M1006&lt;=$R$5),$V$5,0)+IF(AND(F1004=$P$6,M1006&lt;=$R$6),$V$6,0)+IF(AND(F1004=$P$7,M1006&lt;=$R$7),$V$7,0))
)</f>
        <v/>
      </c>
      <c r="F1006" s="153" t="s">
        <v>302</v>
      </c>
      <c r="G1006" s="616"/>
      <c r="H1006" s="617"/>
      <c r="I1006" s="618"/>
      <c r="J1006" s="616"/>
      <c r="K1006" s="617"/>
      <c r="L1006" s="618"/>
      <c r="M1006" s="255"/>
      <c r="N1006" s="256"/>
      <c r="O1006" s="388"/>
      <c r="P1006" s="185">
        <f t="shared" ref="P1006" si="1279">IF(F1004="",0,1)</f>
        <v>0</v>
      </c>
      <c r="R1006" s="185" t="str">
        <f t="shared" ref="R1006" si="1280">E1006</f>
        <v/>
      </c>
      <c r="S1006" s="185" t="str">
        <f t="shared" ref="S1006" si="1281">E1007</f>
        <v/>
      </c>
      <c r="T1006" s="185" t="str">
        <f t="shared" ref="T1006" si="1282">E1008</f>
        <v/>
      </c>
      <c r="U1006" s="185" t="str">
        <f t="shared" ref="U1006" si="1283">E1009</f>
        <v/>
      </c>
      <c r="V1006" s="185" t="str">
        <f t="shared" ref="V1006" si="1284">E1010</f>
        <v/>
      </c>
      <c r="W1006" s="185" t="str">
        <f t="shared" ref="W1006" si="1285">E1011</f>
        <v/>
      </c>
      <c r="X1006" s="185" t="str">
        <f t="shared" ref="X1006" si="1286">E1012</f>
        <v/>
      </c>
      <c r="AD1006" s="244"/>
      <c r="AE1006" s="355" t="str">
        <f>IF(OR(AM1006="",AM1006=0,AJ1006="",AG1006=""),"",
(IF(AND(AF1004=$P$4,AM1006&lt;=$R$4),$V$4,0)+IF(AND(AF1004=$P$5,AM1006&lt;=$R$5),$V$5,0)+IF(AND(AF1004=$P$6,AM1006&lt;=$R$6),$V$6,0)+IF(AND(AF1004=$P$7,AM1006&lt;=$R$7),$V$7,0))
)</f>
        <v/>
      </c>
      <c r="AF1006" s="153" t="s">
        <v>302</v>
      </c>
      <c r="AG1006" s="598"/>
      <c r="AH1006" s="599"/>
      <c r="AI1006" s="600"/>
      <c r="AJ1006" s="598"/>
      <c r="AK1006" s="599"/>
      <c r="AL1006" s="600"/>
      <c r="AM1006" s="384"/>
      <c r="AN1006" s="256"/>
      <c r="AO1006" s="388"/>
      <c r="AP1006" s="185">
        <f t="shared" ref="AP1006" si="1287">IF(AF1004="",0,1)</f>
        <v>0</v>
      </c>
      <c r="AR1006" s="185" t="str">
        <f t="shared" ref="AR1006" si="1288">AE1006</f>
        <v/>
      </c>
      <c r="AS1006" s="185" t="str">
        <f t="shared" ref="AS1006" si="1289">AE1007</f>
        <v/>
      </c>
      <c r="AT1006" s="185" t="str">
        <f t="shared" ref="AT1006" si="1290">AE1008</f>
        <v/>
      </c>
      <c r="AU1006" s="185" t="str">
        <f t="shared" ref="AU1006" si="1291">AE1009</f>
        <v/>
      </c>
      <c r="AV1006" s="185" t="str">
        <f t="shared" ref="AV1006" si="1292">AE1010</f>
        <v/>
      </c>
      <c r="AW1006" s="185" t="str">
        <f t="shared" ref="AW1006" si="1293">AE1011</f>
        <v/>
      </c>
      <c r="AX1006" s="185" t="str">
        <f t="shared" ref="AX1006" si="1294">AE1012</f>
        <v/>
      </c>
    </row>
    <row r="1007" spans="4:50" x14ac:dyDescent="0.3">
      <c r="D1007" s="244"/>
      <c r="E1007" s="341" t="str">
        <f>IF(OR(M1007="",M1007=0,J1007="",G1007=""),"",
(IF(AND(F1004=$P$4,M1007&lt;=$R$4),$V$4,0)+IF(AND(F1004=$P$5,M1007&lt;=$R$5),$V$5,0)+IF(AND(F1004=$P$6,M1007&lt;=$R$6),$V$6,0)+IF(AND(F1004=$P$7,M1007&lt;=$R$7),$V$7,0))
)</f>
        <v/>
      </c>
      <c r="F1007" s="153" t="s">
        <v>303</v>
      </c>
      <c r="G1007" s="616"/>
      <c r="H1007" s="617"/>
      <c r="I1007" s="618"/>
      <c r="J1007" s="616"/>
      <c r="K1007" s="617"/>
      <c r="L1007" s="618"/>
      <c r="M1007" s="255"/>
      <c r="N1007" s="256"/>
      <c r="O1007" s="388"/>
      <c r="AD1007" s="244"/>
      <c r="AE1007" s="341" t="str">
        <f>IF(OR(AM1007="",AM1007=0,AJ1007="",AG1007=""),"",
(IF(AND(AF1004=$P$4,AM1007&lt;=$R$4),$V$4,0)+IF(AND(AF1004=$P$5,AM1007&lt;=$R$5),$V$5,0)+IF(AND(AF1004=$P$6,AM1007&lt;=$R$6),$V$6,0)+IF(AND(AF1004=$P$7,AM1007&lt;=$R$7),$V$7,0))
)</f>
        <v/>
      </c>
      <c r="AF1007" s="153" t="s">
        <v>303</v>
      </c>
      <c r="AG1007" s="598"/>
      <c r="AH1007" s="599"/>
      <c r="AI1007" s="600"/>
      <c r="AJ1007" s="598"/>
      <c r="AK1007" s="599"/>
      <c r="AL1007" s="600"/>
      <c r="AM1007" s="384"/>
      <c r="AN1007" s="256"/>
      <c r="AO1007" s="388"/>
    </row>
    <row r="1008" spans="4:50" x14ac:dyDescent="0.3">
      <c r="D1008" s="244"/>
      <c r="E1008" s="341" t="str">
        <f>IF(OR(M1008="",M1008=0,J1008="",G1008=""),"",
(IF(AND(F1004=$P$4,M1008&lt;=$R$4),$V$4,0)+IF(AND(F1004=$P$5,M1008&lt;=$R$5),$V$5,0)+IF(AND(F1004=$P$6,M1008&lt;=$R$6),$V$6,0)+IF(AND(F1004=$P$7,M1008&lt;=$R$7),$V$7,0))
)</f>
        <v/>
      </c>
      <c r="F1008" s="153" t="s">
        <v>304</v>
      </c>
      <c r="G1008" s="616"/>
      <c r="H1008" s="617"/>
      <c r="I1008" s="618"/>
      <c r="J1008" s="616"/>
      <c r="K1008" s="617"/>
      <c r="L1008" s="618"/>
      <c r="M1008" s="255"/>
      <c r="N1008" s="256"/>
      <c r="O1008" s="388"/>
      <c r="AD1008" s="244"/>
      <c r="AE1008" s="341" t="str">
        <f>IF(OR(AM1008="",AM1008=0,AJ1008="",AG1008=""),"",
(IF(AND(AF1004=$P$4,AM1008&lt;=$R$4),$V$4,0)+IF(AND(AF1004=$P$5,AM1008&lt;=$R$5),$V$5,0)+IF(AND(AF1004=$P$6,AM1008&lt;=$R$6),$V$6,0)+IF(AND(AF1004=$P$7,AM1008&lt;=$R$7),$V$7,0))
)</f>
        <v/>
      </c>
      <c r="AF1008" s="153" t="s">
        <v>304</v>
      </c>
      <c r="AG1008" s="598"/>
      <c r="AH1008" s="599"/>
      <c r="AI1008" s="600"/>
      <c r="AJ1008" s="598"/>
      <c r="AK1008" s="599"/>
      <c r="AL1008" s="600"/>
      <c r="AM1008" s="384"/>
      <c r="AN1008" s="256"/>
      <c r="AO1008" s="388"/>
    </row>
    <row r="1009" spans="4:50" x14ac:dyDescent="0.3">
      <c r="D1009" s="244"/>
      <c r="E1009" s="341" t="str">
        <f>IF(OR(M1009="",M1009=0,J1009="",G1009=""),"",
(IF(AND(F1004=$P$4,M1009&lt;=$R$4),$V$4,0)+IF(AND(F1004=$P$5,M1009&lt;=$R$5),$V$5,0)+IF(AND(F1004=$P$6,M1009&lt;=$R$6),$V$6,0)+IF(AND(F1004=$P$7,M1009&lt;=$R$7),$V$7,0))
)</f>
        <v/>
      </c>
      <c r="F1009" s="153" t="s">
        <v>305</v>
      </c>
      <c r="G1009" s="616"/>
      <c r="H1009" s="617"/>
      <c r="I1009" s="618"/>
      <c r="J1009" s="616"/>
      <c r="K1009" s="617"/>
      <c r="L1009" s="618"/>
      <c r="M1009" s="255"/>
      <c r="N1009" s="256"/>
      <c r="O1009" s="388"/>
      <c r="AD1009" s="244"/>
      <c r="AE1009" s="341" t="str">
        <f>IF(OR(AM1009="",AM1009=0,AJ1009="",AG1009=""),"",
(IF(AND(AF1004=$P$4,AM1009&lt;=$R$4),$V$4,0)+IF(AND(AF1004=$P$5,AM1009&lt;=$R$5),$V$5,0)+IF(AND(AF1004=$P$6,AM1009&lt;=$R$6),$V$6,0)+IF(AND(AF1004=$P$7,AM1009&lt;=$R$7),$V$7,0))
)</f>
        <v/>
      </c>
      <c r="AF1009" s="153" t="s">
        <v>305</v>
      </c>
      <c r="AG1009" s="598"/>
      <c r="AH1009" s="599"/>
      <c r="AI1009" s="600"/>
      <c r="AJ1009" s="598"/>
      <c r="AK1009" s="599"/>
      <c r="AL1009" s="600"/>
      <c r="AM1009" s="384"/>
      <c r="AN1009" s="256"/>
      <c r="AO1009" s="388"/>
    </row>
    <row r="1010" spans="4:50" x14ac:dyDescent="0.3">
      <c r="D1010" s="244"/>
      <c r="E1010" s="341" t="str">
        <f>IF(OR(M1010="",M1010=0,J1010="",G1010=""),"",
(IF(AND(F1004=$P$4,M1010&lt;=$R$4),$V$4,0)+IF(AND(F1004=$P$5,M1010&lt;=$R$5),$V$5,0)+IF(AND(F1004=$P$6,M1010&lt;=$R$6),$V$6,0)+IF(AND(F1004=$P$7,M1010&lt;=$R$7),$V$7,0))
)</f>
        <v/>
      </c>
      <c r="F1010" s="153" t="s">
        <v>306</v>
      </c>
      <c r="G1010" s="616"/>
      <c r="H1010" s="617"/>
      <c r="I1010" s="618"/>
      <c r="J1010" s="616"/>
      <c r="K1010" s="617"/>
      <c r="L1010" s="618"/>
      <c r="M1010" s="255"/>
      <c r="N1010" s="256"/>
      <c r="O1010" s="388"/>
      <c r="AD1010" s="244"/>
      <c r="AE1010" s="341" t="str">
        <f>IF(OR(AM1010="",AM1010=0,AJ1010="",AG1010=""),"",
(IF(AND(AF1004=$P$4,AM1010&lt;=$R$4),$V$4,0)+IF(AND(AF1004=$P$5,AM1010&lt;=$R$5),$V$5,0)+IF(AND(AF1004=$P$6,AM1010&lt;=$R$6),$V$6,0)+IF(AND(AF1004=$P$7,AM1010&lt;=$R$7),$V$7,0))
)</f>
        <v/>
      </c>
      <c r="AF1010" s="153" t="s">
        <v>306</v>
      </c>
      <c r="AG1010" s="598"/>
      <c r="AH1010" s="599"/>
      <c r="AI1010" s="600"/>
      <c r="AJ1010" s="598"/>
      <c r="AK1010" s="599"/>
      <c r="AL1010" s="600"/>
      <c r="AM1010" s="384"/>
      <c r="AN1010" s="256"/>
      <c r="AO1010" s="388"/>
    </row>
    <row r="1011" spans="4:50" x14ac:dyDescent="0.3">
      <c r="D1011" s="244"/>
      <c r="E1011" s="341" t="str">
        <f>IF(OR(M1011="",M1011=0,J1011="",G1011=""),"",
(IF(AND(F1004=$P$4,M1011&lt;=$R$4),$V$4,0)+IF(AND(F1004=$P$5,M1011&lt;=$R$5),$V$5,0)+IF(AND(F1004=$P$6,M1011&lt;=$R$6),$V$6,0)+IF(AND(F1004=$P$7,M1011&lt;=$R$7),$V$7,0))
)</f>
        <v/>
      </c>
      <c r="F1011" s="153" t="s">
        <v>307</v>
      </c>
      <c r="G1011" s="616"/>
      <c r="H1011" s="617"/>
      <c r="I1011" s="618"/>
      <c r="J1011" s="616"/>
      <c r="K1011" s="617"/>
      <c r="L1011" s="618"/>
      <c r="M1011" s="255"/>
      <c r="N1011" s="256"/>
      <c r="O1011" s="388"/>
      <c r="AD1011" s="244"/>
      <c r="AE1011" s="341" t="str">
        <f>IF(OR(AM1011="",AM1011=0,AJ1011="",AG1011=""),"",
(IF(AND(AF1004=$P$4,AM1011&lt;=$R$4),$V$4,0)+IF(AND(AF1004=$P$5,AM1011&lt;=$R$5),$V$5,0)+IF(AND(AF1004=$P$6,AM1011&lt;=$R$6),$V$6,0)+IF(AND(AF1004=$P$7,AM1011&lt;=$R$7),$V$7,0))
)</f>
        <v/>
      </c>
      <c r="AF1011" s="153" t="s">
        <v>307</v>
      </c>
      <c r="AG1011" s="598"/>
      <c r="AH1011" s="599"/>
      <c r="AI1011" s="600"/>
      <c r="AJ1011" s="598"/>
      <c r="AK1011" s="599"/>
      <c r="AL1011" s="600"/>
      <c r="AM1011" s="384"/>
      <c r="AN1011" s="256"/>
      <c r="AO1011" s="388"/>
    </row>
    <row r="1012" spans="4:50" x14ac:dyDescent="0.3">
      <c r="D1012" s="244"/>
      <c r="E1012" s="341" t="str">
        <f>IF(OR(M1012="",M1012=0,J1012="",G1012=""),"",
(IF(AND(F1004=$P$4,M1012&lt;=$R$4),$V$4,0)+IF(AND(F1004=$P$5,M1012&lt;=$R$5),$V$5,0)+IF(AND(F1004=$P$6,M1012&lt;=$R$6),$V$6,0)+IF(AND(F1004=$P$7,M1012&lt;=$R$7),$V$7,0))
)</f>
        <v/>
      </c>
      <c r="F1012" s="153" t="s">
        <v>308</v>
      </c>
      <c r="G1012" s="616"/>
      <c r="H1012" s="617"/>
      <c r="I1012" s="618"/>
      <c r="J1012" s="616"/>
      <c r="K1012" s="617"/>
      <c r="L1012" s="618"/>
      <c r="M1012" s="255"/>
      <c r="N1012" s="256"/>
      <c r="O1012" s="388"/>
      <c r="AD1012" s="244"/>
      <c r="AE1012" s="341" t="str">
        <f>IF(OR(AM1012="",AM1012=0,AJ1012="",AG1012=""),"",
(IF(AND(AF1004=$P$4,AM1012&lt;=$R$4),$V$4,0)+IF(AND(AF1004=$P$5,AM1012&lt;=$R$5),$V$5,0)+IF(AND(AF1004=$P$6,AM1012&lt;=$R$6),$V$6,0)+IF(AND(AF1004=$P$7,AM1012&lt;=$R$7),$V$7,0))
)</f>
        <v/>
      </c>
      <c r="AF1012" s="153" t="s">
        <v>308</v>
      </c>
      <c r="AG1012" s="598"/>
      <c r="AH1012" s="599"/>
      <c r="AI1012" s="600"/>
      <c r="AJ1012" s="598"/>
      <c r="AK1012" s="599"/>
      <c r="AL1012" s="600"/>
      <c r="AM1012" s="384"/>
      <c r="AN1012" s="256"/>
      <c r="AO1012" s="388"/>
    </row>
    <row r="1013" spans="4:50" ht="16.2" thickBot="1" x14ac:dyDescent="0.35">
      <c r="D1013" s="203"/>
      <c r="E1013" s="3"/>
      <c r="F1013" s="3"/>
      <c r="G1013" s="3"/>
      <c r="H1013" s="3"/>
      <c r="I1013" s="3"/>
      <c r="J1013" s="3"/>
      <c r="K1013" s="3"/>
      <c r="L1013" s="3"/>
      <c r="M1013" s="3"/>
      <c r="N1013" s="204"/>
      <c r="P1013" s="2"/>
      <c r="AD1013" s="203"/>
      <c r="AE1013" s="3"/>
      <c r="AF1013" s="3"/>
      <c r="AG1013" s="3"/>
      <c r="AH1013" s="3"/>
      <c r="AI1013" s="3"/>
      <c r="AJ1013" s="3"/>
      <c r="AK1013" s="3"/>
      <c r="AL1013" s="3"/>
      <c r="AM1013" s="3"/>
      <c r="AN1013" s="204"/>
      <c r="AP1013" s="2"/>
    </row>
    <row r="1014" spans="4:50" x14ac:dyDescent="0.3">
      <c r="D1014" s="601" t="str">
        <f>IF(
OR(
OR(F1016=$P$4,F1016=$P$5,F1016=$P$6,F1016=$P$7),AND(G1018="",G1019="",G1020="",G1021="",G1022="",G1023="",G1024="",J1018="",J1019="",J1020="",J1021="",J1022="",J1023="",J1024="",M1018="",M1019="",M1020="",M1021="",M1022="",M1023="",M1024="",K1015="",K1016="")
),
"",
"A Set-Aside must be selected."
)</f>
        <v/>
      </c>
      <c r="E1014" s="602"/>
      <c r="F1014" s="602"/>
      <c r="G1014" s="602"/>
      <c r="H1014" s="602"/>
      <c r="I1014" s="602"/>
      <c r="J1014" s="602"/>
      <c r="K1014" s="602"/>
      <c r="L1014" s="602"/>
      <c r="M1014" s="602"/>
      <c r="N1014" s="603"/>
      <c r="O1014" s="2"/>
      <c r="AD1014" s="601" t="str">
        <f>IF(
OR(
OR(AF1016=$P$4,AF1016=$P$5,AF1016=$P$6,AF1016=$P$7),AND(AG1018="",AG1019="",AG1020="",AG1021="",AG1022="",AG1023="",AG1024="",AJ1018="",AJ1019="",AJ1020="",AJ1021="",AJ1022="",AJ1023="",AJ1024="",AM1018="",AM1019="",AM1020="",AM1021="",AM1022="",AM1023="",AM1024="",AK1015="",AK1016="")
),
"",
"A Set-Aside must be selected."
)</f>
        <v/>
      </c>
      <c r="AE1014" s="602"/>
      <c r="AF1014" s="602"/>
      <c r="AG1014" s="602"/>
      <c r="AH1014" s="602"/>
      <c r="AI1014" s="602"/>
      <c r="AJ1014" s="602"/>
      <c r="AK1014" s="602"/>
      <c r="AL1014" s="602"/>
      <c r="AM1014" s="602"/>
      <c r="AN1014" s="603"/>
      <c r="AO1014" s="2"/>
    </row>
    <row r="1015" spans="4:50" ht="15.75" customHeight="1" x14ac:dyDescent="0.3">
      <c r="D1015" s="199"/>
      <c r="E1015" s="9" t="s">
        <v>30</v>
      </c>
      <c r="F1015" s="86">
        <f>F1003+1</f>
        <v>82</v>
      </c>
      <c r="G1015" s="9" t="s">
        <v>175</v>
      </c>
      <c r="H1015" s="9"/>
      <c r="I1015" s="9"/>
      <c r="J1015" s="168" t="s">
        <v>111</v>
      </c>
      <c r="K1015" s="148"/>
      <c r="N1015" s="200"/>
      <c r="R1015" s="596" t="s">
        <v>302</v>
      </c>
      <c r="S1015" s="596" t="s">
        <v>303</v>
      </c>
      <c r="T1015" s="596" t="s">
        <v>304</v>
      </c>
      <c r="U1015" s="596" t="s">
        <v>305</v>
      </c>
      <c r="V1015" s="596" t="s">
        <v>306</v>
      </c>
      <c r="W1015" s="596" t="s">
        <v>307</v>
      </c>
      <c r="X1015" s="596" t="s">
        <v>308</v>
      </c>
      <c r="AD1015" s="199"/>
      <c r="AE1015" s="9" t="s">
        <v>30</v>
      </c>
      <c r="AF1015" s="86">
        <f>AF1003+1</f>
        <v>82</v>
      </c>
      <c r="AG1015" s="9" t="s">
        <v>175</v>
      </c>
      <c r="AH1015" s="9"/>
      <c r="AI1015" s="9"/>
      <c r="AJ1015" s="168" t="s">
        <v>111</v>
      </c>
      <c r="AK1015" s="382"/>
      <c r="AN1015" s="200"/>
      <c r="AR1015" s="596" t="s">
        <v>302</v>
      </c>
      <c r="AS1015" s="596" t="s">
        <v>303</v>
      </c>
      <c r="AT1015" s="596" t="s">
        <v>304</v>
      </c>
      <c r="AU1015" s="596" t="s">
        <v>305</v>
      </c>
      <c r="AV1015" s="596" t="s">
        <v>306</v>
      </c>
      <c r="AW1015" s="596" t="s">
        <v>307</v>
      </c>
      <c r="AX1015" s="596" t="s">
        <v>308</v>
      </c>
    </row>
    <row r="1016" spans="4:50" x14ac:dyDescent="0.3">
      <c r="D1016" s="604" t="s">
        <v>31</v>
      </c>
      <c r="E1016" s="594"/>
      <c r="F1016" s="151"/>
      <c r="G1016" s="86" t="str">
        <f>IF(F1016=$P$4,$Q$4,IF(F1016=$P$5,$Q$5,IF(F1016=$P$6,$Q$6,IF(F1016=$P$7,Q$7,IF(F1016=$P$8,"","")))))</f>
        <v/>
      </c>
      <c r="H1016" s="201"/>
      <c r="I1016" s="201"/>
      <c r="J1016" s="168" t="s">
        <v>112</v>
      </c>
      <c r="K1016" s="148"/>
      <c r="N1016" s="200"/>
      <c r="R1016" s="596"/>
      <c r="S1016" s="596"/>
      <c r="T1016" s="596"/>
      <c r="U1016" s="596"/>
      <c r="V1016" s="596"/>
      <c r="W1016" s="596"/>
      <c r="X1016" s="596"/>
      <c r="AD1016" s="604" t="s">
        <v>31</v>
      </c>
      <c r="AE1016" s="594"/>
      <c r="AF1016" s="383"/>
      <c r="AG1016" s="86" t="str">
        <f>IF(AF1016=$P$4,$Q$4,IF(AF1016=$P$5,$Q$5,IF(AF1016=$P$6,$Q$6,IF(AF1016=$P$7,AQ$7,IF(AF1016=$P$8,"","")))))</f>
        <v/>
      </c>
      <c r="AH1016" s="201"/>
      <c r="AI1016" s="201"/>
      <c r="AJ1016" s="168" t="s">
        <v>112</v>
      </c>
      <c r="AK1016" s="382"/>
      <c r="AN1016" s="200"/>
      <c r="AR1016" s="596"/>
      <c r="AS1016" s="596"/>
      <c r="AT1016" s="596"/>
      <c r="AU1016" s="596"/>
      <c r="AV1016" s="596"/>
      <c r="AW1016" s="596"/>
      <c r="AX1016" s="596"/>
    </row>
    <row r="1017" spans="4:50" x14ac:dyDescent="0.3">
      <c r="D1017" s="244"/>
      <c r="E1017" s="230" t="s">
        <v>52</v>
      </c>
      <c r="F1017" s="9" t="s">
        <v>32</v>
      </c>
      <c r="G1017" s="9" t="s">
        <v>33</v>
      </c>
      <c r="H1017" s="9"/>
      <c r="I1017" s="9"/>
      <c r="J1017" s="9" t="s">
        <v>34</v>
      </c>
      <c r="K1017" s="9"/>
      <c r="L1017" s="9"/>
      <c r="M1017" s="257" t="s">
        <v>35</v>
      </c>
      <c r="N1017" s="202"/>
      <c r="O1017" s="9"/>
      <c r="P1017" s="198" t="s">
        <v>22</v>
      </c>
      <c r="Q1017" s="198"/>
      <c r="R1017" s="596"/>
      <c r="S1017" s="596"/>
      <c r="T1017" s="596"/>
      <c r="U1017" s="596"/>
      <c r="V1017" s="596"/>
      <c r="W1017" s="596"/>
      <c r="X1017" s="596"/>
      <c r="AD1017" s="244"/>
      <c r="AE1017" s="230" t="s">
        <v>52</v>
      </c>
      <c r="AF1017" s="9" t="s">
        <v>32</v>
      </c>
      <c r="AG1017" s="9" t="s">
        <v>33</v>
      </c>
      <c r="AH1017" s="9"/>
      <c r="AI1017" s="9"/>
      <c r="AJ1017" s="9" t="s">
        <v>34</v>
      </c>
      <c r="AK1017" s="9"/>
      <c r="AL1017" s="9"/>
      <c r="AM1017" s="257" t="s">
        <v>35</v>
      </c>
      <c r="AN1017" s="202"/>
      <c r="AO1017" s="9"/>
      <c r="AP1017" s="198" t="s">
        <v>22</v>
      </c>
      <c r="AQ1017" s="198"/>
      <c r="AR1017" s="596"/>
      <c r="AS1017" s="596"/>
      <c r="AT1017" s="596"/>
      <c r="AU1017" s="596"/>
      <c r="AV1017" s="596"/>
      <c r="AW1017" s="596"/>
      <c r="AX1017" s="596"/>
    </row>
    <row r="1018" spans="4:50" x14ac:dyDescent="0.3">
      <c r="D1018" s="244"/>
      <c r="E1018" s="355" t="str">
        <f>IF(OR(M1018="",M1018=0,J1018="",G1018=""),"",
(IF(AND(F1016=$P$4,M1018&lt;=$R$4),$V$4,0)+IF(AND(F1016=$P$5,M1018&lt;=$R$5),$V$5,0)+IF(AND(F1016=$P$6,M1018&lt;=$R$6),$V$6,0)+IF(AND(F1016=$P$7,M1018&lt;=$R$7),$V$7,0))
)</f>
        <v/>
      </c>
      <c r="F1018" s="153" t="s">
        <v>302</v>
      </c>
      <c r="G1018" s="616"/>
      <c r="H1018" s="617"/>
      <c r="I1018" s="618"/>
      <c r="J1018" s="616"/>
      <c r="K1018" s="617"/>
      <c r="L1018" s="618"/>
      <c r="M1018" s="255"/>
      <c r="N1018" s="256"/>
      <c r="O1018" s="388"/>
      <c r="P1018" s="185">
        <f t="shared" ref="P1018" si="1295">IF(F1016="",0,1)</f>
        <v>0</v>
      </c>
      <c r="R1018" s="185" t="str">
        <f t="shared" ref="R1018" si="1296">E1018</f>
        <v/>
      </c>
      <c r="S1018" s="185" t="str">
        <f t="shared" ref="S1018" si="1297">E1019</f>
        <v/>
      </c>
      <c r="T1018" s="185" t="str">
        <f t="shared" ref="T1018" si="1298">E1020</f>
        <v/>
      </c>
      <c r="U1018" s="185" t="str">
        <f t="shared" ref="U1018" si="1299">E1021</f>
        <v/>
      </c>
      <c r="V1018" s="185" t="str">
        <f t="shared" ref="V1018" si="1300">E1022</f>
        <v/>
      </c>
      <c r="W1018" s="185" t="str">
        <f t="shared" ref="W1018" si="1301">E1023</f>
        <v/>
      </c>
      <c r="X1018" s="185" t="str">
        <f t="shared" ref="X1018" si="1302">E1024</f>
        <v/>
      </c>
      <c r="AD1018" s="244"/>
      <c r="AE1018" s="355" t="str">
        <f>IF(OR(AM1018="",AM1018=0,AJ1018="",AG1018=""),"",
(IF(AND(AF1016=$P$4,AM1018&lt;=$R$4),$V$4,0)+IF(AND(AF1016=$P$5,AM1018&lt;=$R$5),$V$5,0)+IF(AND(AF1016=$P$6,AM1018&lt;=$R$6),$V$6,0)+IF(AND(AF1016=$P$7,AM1018&lt;=$R$7),$V$7,0))
)</f>
        <v/>
      </c>
      <c r="AF1018" s="153" t="s">
        <v>302</v>
      </c>
      <c r="AG1018" s="598"/>
      <c r="AH1018" s="599"/>
      <c r="AI1018" s="600"/>
      <c r="AJ1018" s="598"/>
      <c r="AK1018" s="599"/>
      <c r="AL1018" s="600"/>
      <c r="AM1018" s="384"/>
      <c r="AN1018" s="256"/>
      <c r="AO1018" s="388"/>
      <c r="AP1018" s="185">
        <f t="shared" ref="AP1018" si="1303">IF(AF1016="",0,1)</f>
        <v>0</v>
      </c>
      <c r="AR1018" s="185" t="str">
        <f t="shared" ref="AR1018" si="1304">AE1018</f>
        <v/>
      </c>
      <c r="AS1018" s="185" t="str">
        <f t="shared" ref="AS1018" si="1305">AE1019</f>
        <v/>
      </c>
      <c r="AT1018" s="185" t="str">
        <f t="shared" ref="AT1018" si="1306">AE1020</f>
        <v/>
      </c>
      <c r="AU1018" s="185" t="str">
        <f t="shared" ref="AU1018" si="1307">AE1021</f>
        <v/>
      </c>
      <c r="AV1018" s="185" t="str">
        <f t="shared" ref="AV1018" si="1308">AE1022</f>
        <v/>
      </c>
      <c r="AW1018" s="185" t="str">
        <f t="shared" ref="AW1018" si="1309">AE1023</f>
        <v/>
      </c>
      <c r="AX1018" s="185" t="str">
        <f t="shared" ref="AX1018" si="1310">AE1024</f>
        <v/>
      </c>
    </row>
    <row r="1019" spans="4:50" x14ac:dyDescent="0.3">
      <c r="D1019" s="244"/>
      <c r="E1019" s="341" t="str">
        <f>IF(OR(M1019="",M1019=0,J1019="",G1019=""),"",
(IF(AND(F1016=$P$4,M1019&lt;=$R$4),$V$4,0)+IF(AND(F1016=$P$5,M1019&lt;=$R$5),$V$5,0)+IF(AND(F1016=$P$6,M1019&lt;=$R$6),$V$6,0)+IF(AND(F1016=$P$7,M1019&lt;=$R$7),$V$7,0))
)</f>
        <v/>
      </c>
      <c r="F1019" s="153" t="s">
        <v>303</v>
      </c>
      <c r="G1019" s="616"/>
      <c r="H1019" s="617"/>
      <c r="I1019" s="618"/>
      <c r="J1019" s="616"/>
      <c r="K1019" s="617"/>
      <c r="L1019" s="618"/>
      <c r="M1019" s="255"/>
      <c r="N1019" s="256"/>
      <c r="O1019" s="388"/>
      <c r="AD1019" s="244"/>
      <c r="AE1019" s="341" t="str">
        <f>IF(OR(AM1019="",AM1019=0,AJ1019="",AG1019=""),"",
(IF(AND(AF1016=$P$4,AM1019&lt;=$R$4),$V$4,0)+IF(AND(AF1016=$P$5,AM1019&lt;=$R$5),$V$5,0)+IF(AND(AF1016=$P$6,AM1019&lt;=$R$6),$V$6,0)+IF(AND(AF1016=$P$7,AM1019&lt;=$R$7),$V$7,0))
)</f>
        <v/>
      </c>
      <c r="AF1019" s="153" t="s">
        <v>303</v>
      </c>
      <c r="AG1019" s="598"/>
      <c r="AH1019" s="599"/>
      <c r="AI1019" s="600"/>
      <c r="AJ1019" s="598"/>
      <c r="AK1019" s="599"/>
      <c r="AL1019" s="600"/>
      <c r="AM1019" s="384"/>
      <c r="AN1019" s="256"/>
      <c r="AO1019" s="388"/>
    </row>
    <row r="1020" spans="4:50" x14ac:dyDescent="0.3">
      <c r="D1020" s="244"/>
      <c r="E1020" s="341" t="str">
        <f>IF(OR(M1020="",M1020=0,J1020="",G1020=""),"",
(IF(AND(F1016=$P$4,M1020&lt;=$R$4),$V$4,0)+IF(AND(F1016=$P$5,M1020&lt;=$R$5),$V$5,0)+IF(AND(F1016=$P$6,M1020&lt;=$R$6),$V$6,0)+IF(AND(F1016=$P$7,M1020&lt;=$R$7),$V$7,0))
)</f>
        <v/>
      </c>
      <c r="F1020" s="153" t="s">
        <v>304</v>
      </c>
      <c r="G1020" s="616"/>
      <c r="H1020" s="617"/>
      <c r="I1020" s="618"/>
      <c r="J1020" s="616"/>
      <c r="K1020" s="617"/>
      <c r="L1020" s="618"/>
      <c r="M1020" s="255"/>
      <c r="N1020" s="256"/>
      <c r="O1020" s="388"/>
      <c r="AD1020" s="244"/>
      <c r="AE1020" s="341" t="str">
        <f>IF(OR(AM1020="",AM1020=0,AJ1020="",AG1020=""),"",
(IF(AND(AF1016=$P$4,AM1020&lt;=$R$4),$V$4,0)+IF(AND(AF1016=$P$5,AM1020&lt;=$R$5),$V$5,0)+IF(AND(AF1016=$P$6,AM1020&lt;=$R$6),$V$6,0)+IF(AND(AF1016=$P$7,AM1020&lt;=$R$7),$V$7,0))
)</f>
        <v/>
      </c>
      <c r="AF1020" s="153" t="s">
        <v>304</v>
      </c>
      <c r="AG1020" s="598"/>
      <c r="AH1020" s="599"/>
      <c r="AI1020" s="600"/>
      <c r="AJ1020" s="598"/>
      <c r="AK1020" s="599"/>
      <c r="AL1020" s="600"/>
      <c r="AM1020" s="384"/>
      <c r="AN1020" s="256"/>
      <c r="AO1020" s="388"/>
    </row>
    <row r="1021" spans="4:50" x14ac:dyDescent="0.3">
      <c r="D1021" s="244"/>
      <c r="E1021" s="341" t="str">
        <f>IF(OR(M1021="",M1021=0,J1021="",G1021=""),"",
(IF(AND(F1016=$P$4,M1021&lt;=$R$4),$V$4,0)+IF(AND(F1016=$P$5,M1021&lt;=$R$5),$V$5,0)+IF(AND(F1016=$P$6,M1021&lt;=$R$6),$V$6,0)+IF(AND(F1016=$P$7,M1021&lt;=$R$7),$V$7,0))
)</f>
        <v/>
      </c>
      <c r="F1021" s="153" t="s">
        <v>305</v>
      </c>
      <c r="G1021" s="616"/>
      <c r="H1021" s="617"/>
      <c r="I1021" s="618"/>
      <c r="J1021" s="616"/>
      <c r="K1021" s="617"/>
      <c r="L1021" s="618"/>
      <c r="M1021" s="255"/>
      <c r="N1021" s="256"/>
      <c r="O1021" s="388"/>
      <c r="AD1021" s="244"/>
      <c r="AE1021" s="341" t="str">
        <f>IF(OR(AM1021="",AM1021=0,AJ1021="",AG1021=""),"",
(IF(AND(AF1016=$P$4,AM1021&lt;=$R$4),$V$4,0)+IF(AND(AF1016=$P$5,AM1021&lt;=$R$5),$V$5,0)+IF(AND(AF1016=$P$6,AM1021&lt;=$R$6),$V$6,0)+IF(AND(AF1016=$P$7,AM1021&lt;=$R$7),$V$7,0))
)</f>
        <v/>
      </c>
      <c r="AF1021" s="153" t="s">
        <v>305</v>
      </c>
      <c r="AG1021" s="598"/>
      <c r="AH1021" s="599"/>
      <c r="AI1021" s="600"/>
      <c r="AJ1021" s="598"/>
      <c r="AK1021" s="599"/>
      <c r="AL1021" s="600"/>
      <c r="AM1021" s="384"/>
      <c r="AN1021" s="256"/>
      <c r="AO1021" s="388"/>
    </row>
    <row r="1022" spans="4:50" x14ac:dyDescent="0.3">
      <c r="D1022" s="244"/>
      <c r="E1022" s="341" t="str">
        <f>IF(OR(M1022="",M1022=0,J1022="",G1022=""),"",
(IF(AND(F1016=$P$4,M1022&lt;=$R$4),$V$4,0)+IF(AND(F1016=$P$5,M1022&lt;=$R$5),$V$5,0)+IF(AND(F1016=$P$6,M1022&lt;=$R$6),$V$6,0)+IF(AND(F1016=$P$7,M1022&lt;=$R$7),$V$7,0))
)</f>
        <v/>
      </c>
      <c r="F1022" s="153" t="s">
        <v>306</v>
      </c>
      <c r="G1022" s="616"/>
      <c r="H1022" s="617"/>
      <c r="I1022" s="618"/>
      <c r="J1022" s="616"/>
      <c r="K1022" s="617"/>
      <c r="L1022" s="618"/>
      <c r="M1022" s="255"/>
      <c r="N1022" s="256"/>
      <c r="O1022" s="388"/>
      <c r="AD1022" s="244"/>
      <c r="AE1022" s="341" t="str">
        <f>IF(OR(AM1022="",AM1022=0,AJ1022="",AG1022=""),"",
(IF(AND(AF1016=$P$4,AM1022&lt;=$R$4),$V$4,0)+IF(AND(AF1016=$P$5,AM1022&lt;=$R$5),$V$5,0)+IF(AND(AF1016=$P$6,AM1022&lt;=$R$6),$V$6,0)+IF(AND(AF1016=$P$7,AM1022&lt;=$R$7),$V$7,0))
)</f>
        <v/>
      </c>
      <c r="AF1022" s="153" t="s">
        <v>306</v>
      </c>
      <c r="AG1022" s="598"/>
      <c r="AH1022" s="599"/>
      <c r="AI1022" s="600"/>
      <c r="AJ1022" s="598"/>
      <c r="AK1022" s="599"/>
      <c r="AL1022" s="600"/>
      <c r="AM1022" s="384"/>
      <c r="AN1022" s="256"/>
      <c r="AO1022" s="388"/>
    </row>
    <row r="1023" spans="4:50" x14ac:dyDescent="0.3">
      <c r="D1023" s="244"/>
      <c r="E1023" s="341" t="str">
        <f>IF(OR(M1023="",M1023=0,J1023="",G1023=""),"",
(IF(AND(F1016=$P$4,M1023&lt;=$R$4),$V$4,0)+IF(AND(F1016=$P$5,M1023&lt;=$R$5),$V$5,0)+IF(AND(F1016=$P$6,M1023&lt;=$R$6),$V$6,0)+IF(AND(F1016=$P$7,M1023&lt;=$R$7),$V$7,0))
)</f>
        <v/>
      </c>
      <c r="F1023" s="153" t="s">
        <v>307</v>
      </c>
      <c r="G1023" s="616"/>
      <c r="H1023" s="617"/>
      <c r="I1023" s="618"/>
      <c r="J1023" s="616"/>
      <c r="K1023" s="617"/>
      <c r="L1023" s="618"/>
      <c r="M1023" s="255"/>
      <c r="N1023" s="256"/>
      <c r="O1023" s="388"/>
      <c r="AD1023" s="244"/>
      <c r="AE1023" s="341" t="str">
        <f>IF(OR(AM1023="",AM1023=0,AJ1023="",AG1023=""),"",
(IF(AND(AF1016=$P$4,AM1023&lt;=$R$4),$V$4,0)+IF(AND(AF1016=$P$5,AM1023&lt;=$R$5),$V$5,0)+IF(AND(AF1016=$P$6,AM1023&lt;=$R$6),$V$6,0)+IF(AND(AF1016=$P$7,AM1023&lt;=$R$7),$V$7,0))
)</f>
        <v/>
      </c>
      <c r="AF1023" s="153" t="s">
        <v>307</v>
      </c>
      <c r="AG1023" s="598"/>
      <c r="AH1023" s="599"/>
      <c r="AI1023" s="600"/>
      <c r="AJ1023" s="598"/>
      <c r="AK1023" s="599"/>
      <c r="AL1023" s="600"/>
      <c r="AM1023" s="384"/>
      <c r="AN1023" s="256"/>
      <c r="AO1023" s="388"/>
    </row>
    <row r="1024" spans="4:50" x14ac:dyDescent="0.3">
      <c r="D1024" s="244"/>
      <c r="E1024" s="341" t="str">
        <f>IF(OR(M1024="",M1024=0,J1024="",G1024=""),"",
(IF(AND(F1016=$P$4,M1024&lt;=$R$4),$V$4,0)+IF(AND(F1016=$P$5,M1024&lt;=$R$5),$V$5,0)+IF(AND(F1016=$P$6,M1024&lt;=$R$6),$V$6,0)+IF(AND(F1016=$P$7,M1024&lt;=$R$7),$V$7,0))
)</f>
        <v/>
      </c>
      <c r="F1024" s="153" t="s">
        <v>308</v>
      </c>
      <c r="G1024" s="616"/>
      <c r="H1024" s="617"/>
      <c r="I1024" s="618"/>
      <c r="J1024" s="616"/>
      <c r="K1024" s="617"/>
      <c r="L1024" s="618"/>
      <c r="M1024" s="255"/>
      <c r="N1024" s="256"/>
      <c r="O1024" s="388"/>
      <c r="AD1024" s="244"/>
      <c r="AE1024" s="341" t="str">
        <f>IF(OR(AM1024="",AM1024=0,AJ1024="",AG1024=""),"",
(IF(AND(AF1016=$P$4,AM1024&lt;=$R$4),$V$4,0)+IF(AND(AF1016=$P$5,AM1024&lt;=$R$5),$V$5,0)+IF(AND(AF1016=$P$6,AM1024&lt;=$R$6),$V$6,0)+IF(AND(AF1016=$P$7,AM1024&lt;=$R$7),$V$7,0))
)</f>
        <v/>
      </c>
      <c r="AF1024" s="153" t="s">
        <v>308</v>
      </c>
      <c r="AG1024" s="598"/>
      <c r="AH1024" s="599"/>
      <c r="AI1024" s="600"/>
      <c r="AJ1024" s="598"/>
      <c r="AK1024" s="599"/>
      <c r="AL1024" s="600"/>
      <c r="AM1024" s="384"/>
      <c r="AN1024" s="256"/>
      <c r="AO1024" s="388"/>
    </row>
    <row r="1025" spans="4:50" ht="16.2" thickBot="1" x14ac:dyDescent="0.35">
      <c r="D1025" s="203"/>
      <c r="E1025" s="3"/>
      <c r="F1025" s="3"/>
      <c r="G1025" s="3"/>
      <c r="H1025" s="3"/>
      <c r="I1025" s="3"/>
      <c r="J1025" s="3"/>
      <c r="K1025" s="3"/>
      <c r="L1025" s="3"/>
      <c r="M1025" s="3"/>
      <c r="N1025" s="204"/>
      <c r="P1025" s="2"/>
      <c r="AD1025" s="203"/>
      <c r="AE1025" s="3"/>
      <c r="AF1025" s="3"/>
      <c r="AG1025" s="3"/>
      <c r="AH1025" s="3"/>
      <c r="AI1025" s="3"/>
      <c r="AJ1025" s="3"/>
      <c r="AK1025" s="3"/>
      <c r="AL1025" s="3"/>
      <c r="AM1025" s="3"/>
      <c r="AN1025" s="204"/>
      <c r="AP1025" s="2"/>
    </row>
    <row r="1026" spans="4:50" x14ac:dyDescent="0.3">
      <c r="D1026" s="601" t="str">
        <f>IF(
OR(
OR(F1028=$P$4,F1028=$P$5,F1028=$P$6,F1028=$P$7),AND(G1030="",G1031="",G1032="",G1033="",G1034="",G1035="",G1036="",J1030="",J1031="",J1032="",J1033="",J1034="",J1035="",J1036="",M1030="",M1031="",M1032="",M1033="",M1034="",M1035="",M1036="",K1027="",K1028="")
),
"",
"A Set-Aside must be selected."
)</f>
        <v/>
      </c>
      <c r="E1026" s="602"/>
      <c r="F1026" s="602"/>
      <c r="G1026" s="602"/>
      <c r="H1026" s="602"/>
      <c r="I1026" s="602"/>
      <c r="J1026" s="602"/>
      <c r="K1026" s="602"/>
      <c r="L1026" s="602"/>
      <c r="M1026" s="602"/>
      <c r="N1026" s="603"/>
      <c r="O1026" s="2"/>
      <c r="AD1026" s="601" t="str">
        <f>IF(
OR(
OR(AF1028=$P$4,AF1028=$P$5,AF1028=$P$6,AF1028=$P$7),AND(AG1030="",AG1031="",AG1032="",AG1033="",AG1034="",AG1035="",AG1036="",AJ1030="",AJ1031="",AJ1032="",AJ1033="",AJ1034="",AJ1035="",AJ1036="",AM1030="",AM1031="",AM1032="",AM1033="",AM1034="",AM1035="",AM1036="",AK1027="",AK1028="")
),
"",
"A Set-Aside must be selected."
)</f>
        <v/>
      </c>
      <c r="AE1026" s="602"/>
      <c r="AF1026" s="602"/>
      <c r="AG1026" s="602"/>
      <c r="AH1026" s="602"/>
      <c r="AI1026" s="602"/>
      <c r="AJ1026" s="602"/>
      <c r="AK1026" s="602"/>
      <c r="AL1026" s="602"/>
      <c r="AM1026" s="602"/>
      <c r="AN1026" s="603"/>
      <c r="AO1026" s="2"/>
    </row>
    <row r="1027" spans="4:50" ht="15.75" customHeight="1" x14ac:dyDescent="0.3">
      <c r="D1027" s="199"/>
      <c r="E1027" s="9" t="s">
        <v>30</v>
      </c>
      <c r="F1027" s="86">
        <f>F1015+1</f>
        <v>83</v>
      </c>
      <c r="G1027" s="9" t="s">
        <v>175</v>
      </c>
      <c r="H1027" s="9"/>
      <c r="I1027" s="9"/>
      <c r="J1027" s="168" t="s">
        <v>111</v>
      </c>
      <c r="K1027" s="148"/>
      <c r="N1027" s="200"/>
      <c r="R1027" s="596" t="s">
        <v>302</v>
      </c>
      <c r="S1027" s="596" t="s">
        <v>303</v>
      </c>
      <c r="T1027" s="596" t="s">
        <v>304</v>
      </c>
      <c r="U1027" s="596" t="s">
        <v>305</v>
      </c>
      <c r="V1027" s="596" t="s">
        <v>306</v>
      </c>
      <c r="W1027" s="596" t="s">
        <v>307</v>
      </c>
      <c r="X1027" s="596" t="s">
        <v>308</v>
      </c>
      <c r="AD1027" s="199"/>
      <c r="AE1027" s="9" t="s">
        <v>30</v>
      </c>
      <c r="AF1027" s="86">
        <f>AF1015+1</f>
        <v>83</v>
      </c>
      <c r="AG1027" s="9" t="s">
        <v>175</v>
      </c>
      <c r="AH1027" s="9"/>
      <c r="AI1027" s="9"/>
      <c r="AJ1027" s="168" t="s">
        <v>111</v>
      </c>
      <c r="AK1027" s="382"/>
      <c r="AN1027" s="200"/>
      <c r="AR1027" s="596" t="s">
        <v>302</v>
      </c>
      <c r="AS1027" s="596" t="s">
        <v>303</v>
      </c>
      <c r="AT1027" s="596" t="s">
        <v>304</v>
      </c>
      <c r="AU1027" s="596" t="s">
        <v>305</v>
      </c>
      <c r="AV1027" s="596" t="s">
        <v>306</v>
      </c>
      <c r="AW1027" s="596" t="s">
        <v>307</v>
      </c>
      <c r="AX1027" s="596" t="s">
        <v>308</v>
      </c>
    </row>
    <row r="1028" spans="4:50" x14ac:dyDescent="0.3">
      <c r="D1028" s="604" t="s">
        <v>31</v>
      </c>
      <c r="E1028" s="594"/>
      <c r="F1028" s="151"/>
      <c r="G1028" s="86" t="str">
        <f>IF(F1028=$P$4,$Q$4,IF(F1028=$P$5,$Q$5,IF(F1028=$P$6,$Q$6,IF(F1028=$P$7,Q$7,IF(F1028=$P$8,"","")))))</f>
        <v/>
      </c>
      <c r="H1028" s="201"/>
      <c r="I1028" s="201"/>
      <c r="J1028" s="168" t="s">
        <v>112</v>
      </c>
      <c r="K1028" s="148"/>
      <c r="N1028" s="200"/>
      <c r="R1028" s="596"/>
      <c r="S1028" s="596"/>
      <c r="T1028" s="596"/>
      <c r="U1028" s="596"/>
      <c r="V1028" s="596"/>
      <c r="W1028" s="596"/>
      <c r="X1028" s="596"/>
      <c r="AD1028" s="604" t="s">
        <v>31</v>
      </c>
      <c r="AE1028" s="594"/>
      <c r="AF1028" s="383"/>
      <c r="AG1028" s="86" t="str">
        <f>IF(AF1028=$P$4,$Q$4,IF(AF1028=$P$5,$Q$5,IF(AF1028=$P$6,$Q$6,IF(AF1028=$P$7,AQ$7,IF(AF1028=$P$8,"","")))))</f>
        <v/>
      </c>
      <c r="AH1028" s="201"/>
      <c r="AI1028" s="201"/>
      <c r="AJ1028" s="168" t="s">
        <v>112</v>
      </c>
      <c r="AK1028" s="382"/>
      <c r="AN1028" s="200"/>
      <c r="AR1028" s="596"/>
      <c r="AS1028" s="596"/>
      <c r="AT1028" s="596"/>
      <c r="AU1028" s="596"/>
      <c r="AV1028" s="596"/>
      <c r="AW1028" s="596"/>
      <c r="AX1028" s="596"/>
    </row>
    <row r="1029" spans="4:50" x14ac:dyDescent="0.3">
      <c r="D1029" s="244"/>
      <c r="E1029" s="230" t="s">
        <v>52</v>
      </c>
      <c r="F1029" s="9" t="s">
        <v>32</v>
      </c>
      <c r="G1029" s="9" t="s">
        <v>33</v>
      </c>
      <c r="H1029" s="9"/>
      <c r="I1029" s="9"/>
      <c r="J1029" s="9" t="s">
        <v>34</v>
      </c>
      <c r="K1029" s="9"/>
      <c r="L1029" s="9"/>
      <c r="M1029" s="257" t="s">
        <v>35</v>
      </c>
      <c r="N1029" s="202"/>
      <c r="O1029" s="9"/>
      <c r="P1029" s="198" t="s">
        <v>22</v>
      </c>
      <c r="Q1029" s="198"/>
      <c r="R1029" s="596"/>
      <c r="S1029" s="596"/>
      <c r="T1029" s="596"/>
      <c r="U1029" s="596"/>
      <c r="V1029" s="596"/>
      <c r="W1029" s="596"/>
      <c r="X1029" s="596"/>
      <c r="AD1029" s="244"/>
      <c r="AE1029" s="230" t="s">
        <v>52</v>
      </c>
      <c r="AF1029" s="9" t="s">
        <v>32</v>
      </c>
      <c r="AG1029" s="9" t="s">
        <v>33</v>
      </c>
      <c r="AH1029" s="9"/>
      <c r="AI1029" s="9"/>
      <c r="AJ1029" s="9" t="s">
        <v>34</v>
      </c>
      <c r="AK1029" s="9"/>
      <c r="AL1029" s="9"/>
      <c r="AM1029" s="257" t="s">
        <v>35</v>
      </c>
      <c r="AN1029" s="202"/>
      <c r="AO1029" s="9"/>
      <c r="AP1029" s="198" t="s">
        <v>22</v>
      </c>
      <c r="AQ1029" s="198"/>
      <c r="AR1029" s="596"/>
      <c r="AS1029" s="596"/>
      <c r="AT1029" s="596"/>
      <c r="AU1029" s="596"/>
      <c r="AV1029" s="596"/>
      <c r="AW1029" s="596"/>
      <c r="AX1029" s="596"/>
    </row>
    <row r="1030" spans="4:50" x14ac:dyDescent="0.3">
      <c r="D1030" s="244"/>
      <c r="E1030" s="355" t="str">
        <f>IF(OR(M1030="",M1030=0,J1030="",G1030=""),"",
(IF(AND(F1028=$P$4,M1030&lt;=$R$4),$V$4,0)+IF(AND(F1028=$P$5,M1030&lt;=$R$5),$V$5,0)+IF(AND(F1028=$P$6,M1030&lt;=$R$6),$V$6,0)+IF(AND(F1028=$P$7,M1030&lt;=$R$7),$V$7,0))
)</f>
        <v/>
      </c>
      <c r="F1030" s="153" t="s">
        <v>302</v>
      </c>
      <c r="G1030" s="616"/>
      <c r="H1030" s="617"/>
      <c r="I1030" s="618"/>
      <c r="J1030" s="616"/>
      <c r="K1030" s="617"/>
      <c r="L1030" s="618"/>
      <c r="M1030" s="255"/>
      <c r="N1030" s="256"/>
      <c r="O1030" s="388"/>
      <c r="P1030" s="185">
        <f t="shared" ref="P1030" si="1311">IF(F1028="",0,1)</f>
        <v>0</v>
      </c>
      <c r="R1030" s="185" t="str">
        <f t="shared" ref="R1030" si="1312">E1030</f>
        <v/>
      </c>
      <c r="S1030" s="185" t="str">
        <f t="shared" ref="S1030" si="1313">E1031</f>
        <v/>
      </c>
      <c r="T1030" s="185" t="str">
        <f t="shared" ref="T1030" si="1314">E1032</f>
        <v/>
      </c>
      <c r="U1030" s="185" t="str">
        <f t="shared" ref="U1030" si="1315">E1033</f>
        <v/>
      </c>
      <c r="V1030" s="185" t="str">
        <f t="shared" ref="V1030" si="1316">E1034</f>
        <v/>
      </c>
      <c r="W1030" s="185" t="str">
        <f t="shared" ref="W1030" si="1317">E1035</f>
        <v/>
      </c>
      <c r="X1030" s="185" t="str">
        <f t="shared" ref="X1030" si="1318">E1036</f>
        <v/>
      </c>
      <c r="AD1030" s="244"/>
      <c r="AE1030" s="355" t="str">
        <f>IF(OR(AM1030="",AM1030=0,AJ1030="",AG1030=""),"",
(IF(AND(AF1028=$P$4,AM1030&lt;=$R$4),$V$4,0)+IF(AND(AF1028=$P$5,AM1030&lt;=$R$5),$V$5,0)+IF(AND(AF1028=$P$6,AM1030&lt;=$R$6),$V$6,0)+IF(AND(AF1028=$P$7,AM1030&lt;=$R$7),$V$7,0))
)</f>
        <v/>
      </c>
      <c r="AF1030" s="153" t="s">
        <v>302</v>
      </c>
      <c r="AG1030" s="598"/>
      <c r="AH1030" s="599"/>
      <c r="AI1030" s="600"/>
      <c r="AJ1030" s="598"/>
      <c r="AK1030" s="599"/>
      <c r="AL1030" s="600"/>
      <c r="AM1030" s="384"/>
      <c r="AN1030" s="256"/>
      <c r="AO1030" s="388"/>
      <c r="AP1030" s="185">
        <f t="shared" ref="AP1030" si="1319">IF(AF1028="",0,1)</f>
        <v>0</v>
      </c>
      <c r="AR1030" s="185" t="str">
        <f t="shared" ref="AR1030" si="1320">AE1030</f>
        <v/>
      </c>
      <c r="AS1030" s="185" t="str">
        <f t="shared" ref="AS1030" si="1321">AE1031</f>
        <v/>
      </c>
      <c r="AT1030" s="185" t="str">
        <f t="shared" ref="AT1030" si="1322">AE1032</f>
        <v/>
      </c>
      <c r="AU1030" s="185" t="str">
        <f t="shared" ref="AU1030" si="1323">AE1033</f>
        <v/>
      </c>
      <c r="AV1030" s="185" t="str">
        <f t="shared" ref="AV1030" si="1324">AE1034</f>
        <v/>
      </c>
      <c r="AW1030" s="185" t="str">
        <f t="shared" ref="AW1030" si="1325">AE1035</f>
        <v/>
      </c>
      <c r="AX1030" s="185" t="str">
        <f t="shared" ref="AX1030" si="1326">AE1036</f>
        <v/>
      </c>
    </row>
    <row r="1031" spans="4:50" x14ac:dyDescent="0.3">
      <c r="D1031" s="244"/>
      <c r="E1031" s="341" t="str">
        <f>IF(OR(M1031="",M1031=0,J1031="",G1031=""),"",
(IF(AND(F1028=$P$4,M1031&lt;=$R$4),$V$4,0)+IF(AND(F1028=$P$5,M1031&lt;=$R$5),$V$5,0)+IF(AND(F1028=$P$6,M1031&lt;=$R$6),$V$6,0)+IF(AND(F1028=$P$7,M1031&lt;=$R$7),$V$7,0))
)</f>
        <v/>
      </c>
      <c r="F1031" s="153" t="s">
        <v>303</v>
      </c>
      <c r="G1031" s="616"/>
      <c r="H1031" s="617"/>
      <c r="I1031" s="618"/>
      <c r="J1031" s="616"/>
      <c r="K1031" s="617"/>
      <c r="L1031" s="618"/>
      <c r="M1031" s="255"/>
      <c r="N1031" s="256"/>
      <c r="O1031" s="388"/>
      <c r="AD1031" s="244"/>
      <c r="AE1031" s="341" t="str">
        <f>IF(OR(AM1031="",AM1031=0,AJ1031="",AG1031=""),"",
(IF(AND(AF1028=$P$4,AM1031&lt;=$R$4),$V$4,0)+IF(AND(AF1028=$P$5,AM1031&lt;=$R$5),$V$5,0)+IF(AND(AF1028=$P$6,AM1031&lt;=$R$6),$V$6,0)+IF(AND(AF1028=$P$7,AM1031&lt;=$R$7),$V$7,0))
)</f>
        <v/>
      </c>
      <c r="AF1031" s="153" t="s">
        <v>303</v>
      </c>
      <c r="AG1031" s="598"/>
      <c r="AH1031" s="599"/>
      <c r="AI1031" s="600"/>
      <c r="AJ1031" s="598"/>
      <c r="AK1031" s="599"/>
      <c r="AL1031" s="600"/>
      <c r="AM1031" s="384"/>
      <c r="AN1031" s="256"/>
      <c r="AO1031" s="388"/>
    </row>
    <row r="1032" spans="4:50" x14ac:dyDescent="0.3">
      <c r="D1032" s="244"/>
      <c r="E1032" s="341" t="str">
        <f>IF(OR(M1032="",M1032=0,J1032="",G1032=""),"",
(IF(AND(F1028=$P$4,M1032&lt;=$R$4),$V$4,0)+IF(AND(F1028=$P$5,M1032&lt;=$R$5),$V$5,0)+IF(AND(F1028=$P$6,M1032&lt;=$R$6),$V$6,0)+IF(AND(F1028=$P$7,M1032&lt;=$R$7),$V$7,0))
)</f>
        <v/>
      </c>
      <c r="F1032" s="153" t="s">
        <v>304</v>
      </c>
      <c r="G1032" s="616"/>
      <c r="H1032" s="617"/>
      <c r="I1032" s="618"/>
      <c r="J1032" s="616"/>
      <c r="K1032" s="617"/>
      <c r="L1032" s="618"/>
      <c r="M1032" s="255"/>
      <c r="N1032" s="256"/>
      <c r="O1032" s="388"/>
      <c r="AD1032" s="244"/>
      <c r="AE1032" s="341" t="str">
        <f>IF(OR(AM1032="",AM1032=0,AJ1032="",AG1032=""),"",
(IF(AND(AF1028=$P$4,AM1032&lt;=$R$4),$V$4,0)+IF(AND(AF1028=$P$5,AM1032&lt;=$R$5),$V$5,0)+IF(AND(AF1028=$P$6,AM1032&lt;=$R$6),$V$6,0)+IF(AND(AF1028=$P$7,AM1032&lt;=$R$7),$V$7,0))
)</f>
        <v/>
      </c>
      <c r="AF1032" s="153" t="s">
        <v>304</v>
      </c>
      <c r="AG1032" s="598"/>
      <c r="AH1032" s="599"/>
      <c r="AI1032" s="600"/>
      <c r="AJ1032" s="598"/>
      <c r="AK1032" s="599"/>
      <c r="AL1032" s="600"/>
      <c r="AM1032" s="384"/>
      <c r="AN1032" s="256"/>
      <c r="AO1032" s="388"/>
    </row>
    <row r="1033" spans="4:50" x14ac:dyDescent="0.3">
      <c r="D1033" s="244"/>
      <c r="E1033" s="341" t="str">
        <f>IF(OR(M1033="",M1033=0,J1033="",G1033=""),"",
(IF(AND(F1028=$P$4,M1033&lt;=$R$4),$V$4,0)+IF(AND(F1028=$P$5,M1033&lt;=$R$5),$V$5,0)+IF(AND(F1028=$P$6,M1033&lt;=$R$6),$V$6,0)+IF(AND(F1028=$P$7,M1033&lt;=$R$7),$V$7,0))
)</f>
        <v/>
      </c>
      <c r="F1033" s="153" t="s">
        <v>305</v>
      </c>
      <c r="G1033" s="616"/>
      <c r="H1033" s="617"/>
      <c r="I1033" s="618"/>
      <c r="J1033" s="616"/>
      <c r="K1033" s="617"/>
      <c r="L1033" s="618"/>
      <c r="M1033" s="255"/>
      <c r="N1033" s="256"/>
      <c r="O1033" s="388"/>
      <c r="AD1033" s="244"/>
      <c r="AE1033" s="341" t="str">
        <f>IF(OR(AM1033="",AM1033=0,AJ1033="",AG1033=""),"",
(IF(AND(AF1028=$P$4,AM1033&lt;=$R$4),$V$4,0)+IF(AND(AF1028=$P$5,AM1033&lt;=$R$5),$V$5,0)+IF(AND(AF1028=$P$6,AM1033&lt;=$R$6),$V$6,0)+IF(AND(AF1028=$P$7,AM1033&lt;=$R$7),$V$7,0))
)</f>
        <v/>
      </c>
      <c r="AF1033" s="153" t="s">
        <v>305</v>
      </c>
      <c r="AG1033" s="598"/>
      <c r="AH1033" s="599"/>
      <c r="AI1033" s="600"/>
      <c r="AJ1033" s="598"/>
      <c r="AK1033" s="599"/>
      <c r="AL1033" s="600"/>
      <c r="AM1033" s="384"/>
      <c r="AN1033" s="256"/>
      <c r="AO1033" s="388"/>
    </row>
    <row r="1034" spans="4:50" x14ac:dyDescent="0.3">
      <c r="D1034" s="244"/>
      <c r="E1034" s="341" t="str">
        <f>IF(OR(M1034="",M1034=0,J1034="",G1034=""),"",
(IF(AND(F1028=$P$4,M1034&lt;=$R$4),$V$4,0)+IF(AND(F1028=$P$5,M1034&lt;=$R$5),$V$5,0)+IF(AND(F1028=$P$6,M1034&lt;=$R$6),$V$6,0)+IF(AND(F1028=$P$7,M1034&lt;=$R$7),$V$7,0))
)</f>
        <v/>
      </c>
      <c r="F1034" s="153" t="s">
        <v>306</v>
      </c>
      <c r="G1034" s="616"/>
      <c r="H1034" s="617"/>
      <c r="I1034" s="618"/>
      <c r="J1034" s="616"/>
      <c r="K1034" s="617"/>
      <c r="L1034" s="618"/>
      <c r="M1034" s="255"/>
      <c r="N1034" s="256"/>
      <c r="O1034" s="388"/>
      <c r="AD1034" s="244"/>
      <c r="AE1034" s="341" t="str">
        <f>IF(OR(AM1034="",AM1034=0,AJ1034="",AG1034=""),"",
(IF(AND(AF1028=$P$4,AM1034&lt;=$R$4),$V$4,0)+IF(AND(AF1028=$P$5,AM1034&lt;=$R$5),$V$5,0)+IF(AND(AF1028=$P$6,AM1034&lt;=$R$6),$V$6,0)+IF(AND(AF1028=$P$7,AM1034&lt;=$R$7),$V$7,0))
)</f>
        <v/>
      </c>
      <c r="AF1034" s="153" t="s">
        <v>306</v>
      </c>
      <c r="AG1034" s="598"/>
      <c r="AH1034" s="599"/>
      <c r="AI1034" s="600"/>
      <c r="AJ1034" s="598"/>
      <c r="AK1034" s="599"/>
      <c r="AL1034" s="600"/>
      <c r="AM1034" s="384"/>
      <c r="AN1034" s="256"/>
      <c r="AO1034" s="388"/>
    </row>
    <row r="1035" spans="4:50" x14ac:dyDescent="0.3">
      <c r="D1035" s="244"/>
      <c r="E1035" s="341" t="str">
        <f>IF(OR(M1035="",M1035=0,J1035="",G1035=""),"",
(IF(AND(F1028=$P$4,M1035&lt;=$R$4),$V$4,0)+IF(AND(F1028=$P$5,M1035&lt;=$R$5),$V$5,0)+IF(AND(F1028=$P$6,M1035&lt;=$R$6),$V$6,0)+IF(AND(F1028=$P$7,M1035&lt;=$R$7),$V$7,0))
)</f>
        <v/>
      </c>
      <c r="F1035" s="153" t="s">
        <v>307</v>
      </c>
      <c r="G1035" s="616"/>
      <c r="H1035" s="617"/>
      <c r="I1035" s="618"/>
      <c r="J1035" s="616"/>
      <c r="K1035" s="617"/>
      <c r="L1035" s="618"/>
      <c r="M1035" s="255"/>
      <c r="N1035" s="256"/>
      <c r="O1035" s="388"/>
      <c r="AD1035" s="244"/>
      <c r="AE1035" s="341" t="str">
        <f>IF(OR(AM1035="",AM1035=0,AJ1035="",AG1035=""),"",
(IF(AND(AF1028=$P$4,AM1035&lt;=$R$4),$V$4,0)+IF(AND(AF1028=$P$5,AM1035&lt;=$R$5),$V$5,0)+IF(AND(AF1028=$P$6,AM1035&lt;=$R$6),$V$6,0)+IF(AND(AF1028=$P$7,AM1035&lt;=$R$7),$V$7,0))
)</f>
        <v/>
      </c>
      <c r="AF1035" s="153" t="s">
        <v>307</v>
      </c>
      <c r="AG1035" s="598"/>
      <c r="AH1035" s="599"/>
      <c r="AI1035" s="600"/>
      <c r="AJ1035" s="598"/>
      <c r="AK1035" s="599"/>
      <c r="AL1035" s="600"/>
      <c r="AM1035" s="384"/>
      <c r="AN1035" s="256"/>
      <c r="AO1035" s="388"/>
    </row>
    <row r="1036" spans="4:50" x14ac:dyDescent="0.3">
      <c r="D1036" s="244"/>
      <c r="E1036" s="341" t="str">
        <f>IF(OR(M1036="",M1036=0,J1036="",G1036=""),"",
(IF(AND(F1028=$P$4,M1036&lt;=$R$4),$V$4,0)+IF(AND(F1028=$P$5,M1036&lt;=$R$5),$V$5,0)+IF(AND(F1028=$P$6,M1036&lt;=$R$6),$V$6,0)+IF(AND(F1028=$P$7,M1036&lt;=$R$7),$V$7,0))
)</f>
        <v/>
      </c>
      <c r="F1036" s="153" t="s">
        <v>308</v>
      </c>
      <c r="G1036" s="616"/>
      <c r="H1036" s="617"/>
      <c r="I1036" s="618"/>
      <c r="J1036" s="616"/>
      <c r="K1036" s="617"/>
      <c r="L1036" s="618"/>
      <c r="M1036" s="255"/>
      <c r="N1036" s="256"/>
      <c r="O1036" s="388"/>
      <c r="AD1036" s="244"/>
      <c r="AE1036" s="341" t="str">
        <f>IF(OR(AM1036="",AM1036=0,AJ1036="",AG1036=""),"",
(IF(AND(AF1028=$P$4,AM1036&lt;=$R$4),$V$4,0)+IF(AND(AF1028=$P$5,AM1036&lt;=$R$5),$V$5,0)+IF(AND(AF1028=$P$6,AM1036&lt;=$R$6),$V$6,0)+IF(AND(AF1028=$P$7,AM1036&lt;=$R$7),$V$7,0))
)</f>
        <v/>
      </c>
      <c r="AF1036" s="153" t="s">
        <v>308</v>
      </c>
      <c r="AG1036" s="598"/>
      <c r="AH1036" s="599"/>
      <c r="AI1036" s="600"/>
      <c r="AJ1036" s="598"/>
      <c r="AK1036" s="599"/>
      <c r="AL1036" s="600"/>
      <c r="AM1036" s="384"/>
      <c r="AN1036" s="256"/>
      <c r="AO1036" s="388"/>
    </row>
    <row r="1037" spans="4:50" ht="16.2" thickBot="1" x14ac:dyDescent="0.35">
      <c r="D1037" s="203"/>
      <c r="E1037" s="3"/>
      <c r="F1037" s="3"/>
      <c r="G1037" s="3"/>
      <c r="H1037" s="3"/>
      <c r="I1037" s="3"/>
      <c r="J1037" s="3"/>
      <c r="K1037" s="3"/>
      <c r="L1037" s="3"/>
      <c r="M1037" s="3"/>
      <c r="N1037" s="204"/>
      <c r="P1037" s="2"/>
      <c r="AD1037" s="203"/>
      <c r="AE1037" s="3"/>
      <c r="AF1037" s="3"/>
      <c r="AG1037" s="3"/>
      <c r="AH1037" s="3"/>
      <c r="AI1037" s="3"/>
      <c r="AJ1037" s="3"/>
      <c r="AK1037" s="3"/>
      <c r="AL1037" s="3"/>
      <c r="AM1037" s="3"/>
      <c r="AN1037" s="204"/>
      <c r="AP1037" s="2"/>
    </row>
    <row r="1038" spans="4:50" x14ac:dyDescent="0.3">
      <c r="D1038" s="601" t="str">
        <f>IF(
OR(
OR(F1040=$P$4,F1040=$P$5,F1040=$P$6,F1040=$P$7),AND(G1042="",G1043="",G1044="",G1045="",G1046="",G1047="",G1048="",J1042="",J1043="",J1044="",J1045="",J1046="",J1047="",J1048="",M1042="",M1043="",M1044="",M1045="",M1046="",M1047="",M1048="",K1039="",K1040="")
),
"",
"A Set-Aside must be selected."
)</f>
        <v/>
      </c>
      <c r="E1038" s="602"/>
      <c r="F1038" s="602"/>
      <c r="G1038" s="602"/>
      <c r="H1038" s="602"/>
      <c r="I1038" s="602"/>
      <c r="J1038" s="602"/>
      <c r="K1038" s="602"/>
      <c r="L1038" s="602"/>
      <c r="M1038" s="602"/>
      <c r="N1038" s="603"/>
      <c r="O1038" s="2"/>
      <c r="AD1038" s="601" t="str">
        <f>IF(
OR(
OR(AF1040=$P$4,AF1040=$P$5,AF1040=$P$6,AF1040=$P$7),AND(AG1042="",AG1043="",AG1044="",AG1045="",AG1046="",AG1047="",AG1048="",AJ1042="",AJ1043="",AJ1044="",AJ1045="",AJ1046="",AJ1047="",AJ1048="",AM1042="",AM1043="",AM1044="",AM1045="",AM1046="",AM1047="",AM1048="",AK1039="",AK1040="")
),
"",
"A Set-Aside must be selected."
)</f>
        <v/>
      </c>
      <c r="AE1038" s="602"/>
      <c r="AF1038" s="602"/>
      <c r="AG1038" s="602"/>
      <c r="AH1038" s="602"/>
      <c r="AI1038" s="602"/>
      <c r="AJ1038" s="602"/>
      <c r="AK1038" s="602"/>
      <c r="AL1038" s="602"/>
      <c r="AM1038" s="602"/>
      <c r="AN1038" s="603"/>
      <c r="AO1038" s="2"/>
    </row>
    <row r="1039" spans="4:50" ht="15.75" customHeight="1" x14ac:dyDescent="0.3">
      <c r="D1039" s="199"/>
      <c r="E1039" s="9" t="s">
        <v>30</v>
      </c>
      <c r="F1039" s="86">
        <f>F1027+1</f>
        <v>84</v>
      </c>
      <c r="G1039" s="9" t="s">
        <v>175</v>
      </c>
      <c r="H1039" s="9"/>
      <c r="I1039" s="9"/>
      <c r="J1039" s="168" t="s">
        <v>111</v>
      </c>
      <c r="K1039" s="148"/>
      <c r="N1039" s="200"/>
      <c r="R1039" s="596" t="s">
        <v>302</v>
      </c>
      <c r="S1039" s="596" t="s">
        <v>303</v>
      </c>
      <c r="T1039" s="596" t="s">
        <v>304</v>
      </c>
      <c r="U1039" s="596" t="s">
        <v>305</v>
      </c>
      <c r="V1039" s="596" t="s">
        <v>306</v>
      </c>
      <c r="W1039" s="596" t="s">
        <v>307</v>
      </c>
      <c r="X1039" s="596" t="s">
        <v>308</v>
      </c>
      <c r="AD1039" s="199"/>
      <c r="AE1039" s="9" t="s">
        <v>30</v>
      </c>
      <c r="AF1039" s="86">
        <f>AF1027+1</f>
        <v>84</v>
      </c>
      <c r="AG1039" s="9" t="s">
        <v>175</v>
      </c>
      <c r="AH1039" s="9"/>
      <c r="AI1039" s="9"/>
      <c r="AJ1039" s="168" t="s">
        <v>111</v>
      </c>
      <c r="AK1039" s="382"/>
      <c r="AN1039" s="200"/>
      <c r="AR1039" s="596" t="s">
        <v>302</v>
      </c>
      <c r="AS1039" s="596" t="s">
        <v>303</v>
      </c>
      <c r="AT1039" s="596" t="s">
        <v>304</v>
      </c>
      <c r="AU1039" s="596" t="s">
        <v>305</v>
      </c>
      <c r="AV1039" s="596" t="s">
        <v>306</v>
      </c>
      <c r="AW1039" s="596" t="s">
        <v>307</v>
      </c>
      <c r="AX1039" s="596" t="s">
        <v>308</v>
      </c>
    </row>
    <row r="1040" spans="4:50" x14ac:dyDescent="0.3">
      <c r="D1040" s="604" t="s">
        <v>31</v>
      </c>
      <c r="E1040" s="594"/>
      <c r="F1040" s="151"/>
      <c r="G1040" s="86" t="str">
        <f>IF(F1040=$P$4,$Q$4,IF(F1040=$P$5,$Q$5,IF(F1040=$P$6,$Q$6,IF(F1040=$P$7,Q$7,IF(F1040=$P$8,"","")))))</f>
        <v/>
      </c>
      <c r="H1040" s="201"/>
      <c r="I1040" s="201"/>
      <c r="J1040" s="168" t="s">
        <v>112</v>
      </c>
      <c r="K1040" s="148"/>
      <c r="N1040" s="200"/>
      <c r="R1040" s="596"/>
      <c r="S1040" s="596"/>
      <c r="T1040" s="596"/>
      <c r="U1040" s="596"/>
      <c r="V1040" s="596"/>
      <c r="W1040" s="596"/>
      <c r="X1040" s="596"/>
      <c r="AD1040" s="604" t="s">
        <v>31</v>
      </c>
      <c r="AE1040" s="594"/>
      <c r="AF1040" s="383"/>
      <c r="AG1040" s="86" t="str">
        <f>IF(AF1040=$P$4,$Q$4,IF(AF1040=$P$5,$Q$5,IF(AF1040=$P$6,$Q$6,IF(AF1040=$P$7,AQ$7,IF(AF1040=$P$8,"","")))))</f>
        <v/>
      </c>
      <c r="AH1040" s="201"/>
      <c r="AI1040" s="201"/>
      <c r="AJ1040" s="168" t="s">
        <v>112</v>
      </c>
      <c r="AK1040" s="382"/>
      <c r="AN1040" s="200"/>
      <c r="AR1040" s="596"/>
      <c r="AS1040" s="596"/>
      <c r="AT1040" s="596"/>
      <c r="AU1040" s="596"/>
      <c r="AV1040" s="596"/>
      <c r="AW1040" s="596"/>
      <c r="AX1040" s="596"/>
    </row>
    <row r="1041" spans="4:50" x14ac:dyDescent="0.3">
      <c r="D1041" s="244"/>
      <c r="E1041" s="230" t="s">
        <v>52</v>
      </c>
      <c r="F1041" s="9" t="s">
        <v>32</v>
      </c>
      <c r="G1041" s="9" t="s">
        <v>33</v>
      </c>
      <c r="H1041" s="9"/>
      <c r="I1041" s="9"/>
      <c r="J1041" s="9" t="s">
        <v>34</v>
      </c>
      <c r="K1041" s="9"/>
      <c r="L1041" s="9"/>
      <c r="M1041" s="257" t="s">
        <v>35</v>
      </c>
      <c r="N1041" s="202"/>
      <c r="O1041" s="9"/>
      <c r="P1041" s="198" t="s">
        <v>22</v>
      </c>
      <c r="Q1041" s="198"/>
      <c r="R1041" s="596"/>
      <c r="S1041" s="596"/>
      <c r="T1041" s="596"/>
      <c r="U1041" s="596"/>
      <c r="V1041" s="596"/>
      <c r="W1041" s="596"/>
      <c r="X1041" s="596"/>
      <c r="AD1041" s="244"/>
      <c r="AE1041" s="230" t="s">
        <v>52</v>
      </c>
      <c r="AF1041" s="9" t="s">
        <v>32</v>
      </c>
      <c r="AG1041" s="9" t="s">
        <v>33</v>
      </c>
      <c r="AH1041" s="9"/>
      <c r="AI1041" s="9"/>
      <c r="AJ1041" s="9" t="s">
        <v>34</v>
      </c>
      <c r="AK1041" s="9"/>
      <c r="AL1041" s="9"/>
      <c r="AM1041" s="257" t="s">
        <v>35</v>
      </c>
      <c r="AN1041" s="202"/>
      <c r="AO1041" s="9"/>
      <c r="AP1041" s="198" t="s">
        <v>22</v>
      </c>
      <c r="AQ1041" s="198"/>
      <c r="AR1041" s="596"/>
      <c r="AS1041" s="596"/>
      <c r="AT1041" s="596"/>
      <c r="AU1041" s="596"/>
      <c r="AV1041" s="596"/>
      <c r="AW1041" s="596"/>
      <c r="AX1041" s="596"/>
    </row>
    <row r="1042" spans="4:50" x14ac:dyDescent="0.3">
      <c r="D1042" s="244"/>
      <c r="E1042" s="355" t="str">
        <f>IF(OR(M1042="",M1042=0,J1042="",G1042=""),"",
(IF(AND(F1040=$P$4,M1042&lt;=$R$4),$V$4,0)+IF(AND(F1040=$P$5,M1042&lt;=$R$5),$V$5,0)+IF(AND(F1040=$P$6,M1042&lt;=$R$6),$V$6,0)+IF(AND(F1040=$P$7,M1042&lt;=$R$7),$V$7,0))
)</f>
        <v/>
      </c>
      <c r="F1042" s="153" t="s">
        <v>302</v>
      </c>
      <c r="G1042" s="616"/>
      <c r="H1042" s="617"/>
      <c r="I1042" s="618"/>
      <c r="J1042" s="616"/>
      <c r="K1042" s="617"/>
      <c r="L1042" s="618"/>
      <c r="M1042" s="255"/>
      <c r="N1042" s="256"/>
      <c r="O1042" s="388"/>
      <c r="P1042" s="185">
        <f t="shared" ref="P1042" si="1327">IF(F1040="",0,1)</f>
        <v>0</v>
      </c>
      <c r="R1042" s="185" t="str">
        <f t="shared" ref="R1042" si="1328">E1042</f>
        <v/>
      </c>
      <c r="S1042" s="185" t="str">
        <f t="shared" ref="S1042" si="1329">E1043</f>
        <v/>
      </c>
      <c r="T1042" s="185" t="str">
        <f t="shared" ref="T1042" si="1330">E1044</f>
        <v/>
      </c>
      <c r="U1042" s="185" t="str">
        <f t="shared" ref="U1042" si="1331">E1045</f>
        <v/>
      </c>
      <c r="V1042" s="185" t="str">
        <f t="shared" ref="V1042" si="1332">E1046</f>
        <v/>
      </c>
      <c r="W1042" s="185" t="str">
        <f t="shared" ref="W1042" si="1333">E1047</f>
        <v/>
      </c>
      <c r="X1042" s="185" t="str">
        <f t="shared" ref="X1042" si="1334">E1048</f>
        <v/>
      </c>
      <c r="AD1042" s="244"/>
      <c r="AE1042" s="355" t="str">
        <f>IF(OR(AM1042="",AM1042=0,AJ1042="",AG1042=""),"",
(IF(AND(AF1040=$P$4,AM1042&lt;=$R$4),$V$4,0)+IF(AND(AF1040=$P$5,AM1042&lt;=$R$5),$V$5,0)+IF(AND(AF1040=$P$6,AM1042&lt;=$R$6),$V$6,0)+IF(AND(AF1040=$P$7,AM1042&lt;=$R$7),$V$7,0))
)</f>
        <v/>
      </c>
      <c r="AF1042" s="153" t="s">
        <v>302</v>
      </c>
      <c r="AG1042" s="598"/>
      <c r="AH1042" s="599"/>
      <c r="AI1042" s="600"/>
      <c r="AJ1042" s="598"/>
      <c r="AK1042" s="599"/>
      <c r="AL1042" s="600"/>
      <c r="AM1042" s="384"/>
      <c r="AN1042" s="256"/>
      <c r="AO1042" s="388"/>
      <c r="AP1042" s="185">
        <f t="shared" ref="AP1042" si="1335">IF(AF1040="",0,1)</f>
        <v>0</v>
      </c>
      <c r="AR1042" s="185" t="str">
        <f t="shared" ref="AR1042" si="1336">AE1042</f>
        <v/>
      </c>
      <c r="AS1042" s="185" t="str">
        <f t="shared" ref="AS1042" si="1337">AE1043</f>
        <v/>
      </c>
      <c r="AT1042" s="185" t="str">
        <f t="shared" ref="AT1042" si="1338">AE1044</f>
        <v/>
      </c>
      <c r="AU1042" s="185" t="str">
        <f t="shared" ref="AU1042" si="1339">AE1045</f>
        <v/>
      </c>
      <c r="AV1042" s="185" t="str">
        <f t="shared" ref="AV1042" si="1340">AE1046</f>
        <v/>
      </c>
      <c r="AW1042" s="185" t="str">
        <f t="shared" ref="AW1042" si="1341">AE1047</f>
        <v/>
      </c>
      <c r="AX1042" s="185" t="str">
        <f t="shared" ref="AX1042" si="1342">AE1048</f>
        <v/>
      </c>
    </row>
    <row r="1043" spans="4:50" x14ac:dyDescent="0.3">
      <c r="D1043" s="244"/>
      <c r="E1043" s="341" t="str">
        <f>IF(OR(M1043="",M1043=0,J1043="",G1043=""),"",
(IF(AND(F1040=$P$4,M1043&lt;=$R$4),$V$4,0)+IF(AND(F1040=$P$5,M1043&lt;=$R$5),$V$5,0)+IF(AND(F1040=$P$6,M1043&lt;=$R$6),$V$6,0)+IF(AND(F1040=$P$7,M1043&lt;=$R$7),$V$7,0))
)</f>
        <v/>
      </c>
      <c r="F1043" s="153" t="s">
        <v>303</v>
      </c>
      <c r="G1043" s="616"/>
      <c r="H1043" s="617"/>
      <c r="I1043" s="618"/>
      <c r="J1043" s="616"/>
      <c r="K1043" s="617"/>
      <c r="L1043" s="618"/>
      <c r="M1043" s="255"/>
      <c r="N1043" s="256"/>
      <c r="O1043" s="388"/>
      <c r="AD1043" s="244"/>
      <c r="AE1043" s="341" t="str">
        <f>IF(OR(AM1043="",AM1043=0,AJ1043="",AG1043=""),"",
(IF(AND(AF1040=$P$4,AM1043&lt;=$R$4),$V$4,0)+IF(AND(AF1040=$P$5,AM1043&lt;=$R$5),$V$5,0)+IF(AND(AF1040=$P$6,AM1043&lt;=$R$6),$V$6,0)+IF(AND(AF1040=$P$7,AM1043&lt;=$R$7),$V$7,0))
)</f>
        <v/>
      </c>
      <c r="AF1043" s="153" t="s">
        <v>303</v>
      </c>
      <c r="AG1043" s="598"/>
      <c r="AH1043" s="599"/>
      <c r="AI1043" s="600"/>
      <c r="AJ1043" s="598"/>
      <c r="AK1043" s="599"/>
      <c r="AL1043" s="600"/>
      <c r="AM1043" s="384"/>
      <c r="AN1043" s="256"/>
      <c r="AO1043" s="388"/>
    </row>
    <row r="1044" spans="4:50" x14ac:dyDescent="0.3">
      <c r="D1044" s="244"/>
      <c r="E1044" s="341" t="str">
        <f>IF(OR(M1044="",M1044=0,J1044="",G1044=""),"",
(IF(AND(F1040=$P$4,M1044&lt;=$R$4),$V$4,0)+IF(AND(F1040=$P$5,M1044&lt;=$R$5),$V$5,0)+IF(AND(F1040=$P$6,M1044&lt;=$R$6),$V$6,0)+IF(AND(F1040=$P$7,M1044&lt;=$R$7),$V$7,0))
)</f>
        <v/>
      </c>
      <c r="F1044" s="153" t="s">
        <v>304</v>
      </c>
      <c r="G1044" s="616"/>
      <c r="H1044" s="617"/>
      <c r="I1044" s="618"/>
      <c r="J1044" s="616"/>
      <c r="K1044" s="617"/>
      <c r="L1044" s="618"/>
      <c r="M1044" s="255"/>
      <c r="N1044" s="256"/>
      <c r="O1044" s="388"/>
      <c r="AD1044" s="244"/>
      <c r="AE1044" s="341" t="str">
        <f>IF(OR(AM1044="",AM1044=0,AJ1044="",AG1044=""),"",
(IF(AND(AF1040=$P$4,AM1044&lt;=$R$4),$V$4,0)+IF(AND(AF1040=$P$5,AM1044&lt;=$R$5),$V$5,0)+IF(AND(AF1040=$P$6,AM1044&lt;=$R$6),$V$6,0)+IF(AND(AF1040=$P$7,AM1044&lt;=$R$7),$V$7,0))
)</f>
        <v/>
      </c>
      <c r="AF1044" s="153" t="s">
        <v>304</v>
      </c>
      <c r="AG1044" s="598"/>
      <c r="AH1044" s="599"/>
      <c r="AI1044" s="600"/>
      <c r="AJ1044" s="598"/>
      <c r="AK1044" s="599"/>
      <c r="AL1044" s="600"/>
      <c r="AM1044" s="384"/>
      <c r="AN1044" s="256"/>
      <c r="AO1044" s="388"/>
    </row>
    <row r="1045" spans="4:50" x14ac:dyDescent="0.3">
      <c r="D1045" s="244"/>
      <c r="E1045" s="341" t="str">
        <f>IF(OR(M1045="",M1045=0,J1045="",G1045=""),"",
(IF(AND(F1040=$P$4,M1045&lt;=$R$4),$V$4,0)+IF(AND(F1040=$P$5,M1045&lt;=$R$5),$V$5,0)+IF(AND(F1040=$P$6,M1045&lt;=$R$6),$V$6,0)+IF(AND(F1040=$P$7,M1045&lt;=$R$7),$V$7,0))
)</f>
        <v/>
      </c>
      <c r="F1045" s="153" t="s">
        <v>305</v>
      </c>
      <c r="G1045" s="616"/>
      <c r="H1045" s="617"/>
      <c r="I1045" s="618"/>
      <c r="J1045" s="616"/>
      <c r="K1045" s="617"/>
      <c r="L1045" s="618"/>
      <c r="M1045" s="255"/>
      <c r="N1045" s="256"/>
      <c r="O1045" s="388"/>
      <c r="AD1045" s="244"/>
      <c r="AE1045" s="341" t="str">
        <f>IF(OR(AM1045="",AM1045=0,AJ1045="",AG1045=""),"",
(IF(AND(AF1040=$P$4,AM1045&lt;=$R$4),$V$4,0)+IF(AND(AF1040=$P$5,AM1045&lt;=$R$5),$V$5,0)+IF(AND(AF1040=$P$6,AM1045&lt;=$R$6),$V$6,0)+IF(AND(AF1040=$P$7,AM1045&lt;=$R$7),$V$7,0))
)</f>
        <v/>
      </c>
      <c r="AF1045" s="153" t="s">
        <v>305</v>
      </c>
      <c r="AG1045" s="598"/>
      <c r="AH1045" s="599"/>
      <c r="AI1045" s="600"/>
      <c r="AJ1045" s="598"/>
      <c r="AK1045" s="599"/>
      <c r="AL1045" s="600"/>
      <c r="AM1045" s="384"/>
      <c r="AN1045" s="256"/>
      <c r="AO1045" s="388"/>
    </row>
    <row r="1046" spans="4:50" x14ac:dyDescent="0.3">
      <c r="D1046" s="244"/>
      <c r="E1046" s="341" t="str">
        <f>IF(OR(M1046="",M1046=0,J1046="",G1046=""),"",
(IF(AND(F1040=$P$4,M1046&lt;=$R$4),$V$4,0)+IF(AND(F1040=$P$5,M1046&lt;=$R$5),$V$5,0)+IF(AND(F1040=$P$6,M1046&lt;=$R$6),$V$6,0)+IF(AND(F1040=$P$7,M1046&lt;=$R$7),$V$7,0))
)</f>
        <v/>
      </c>
      <c r="F1046" s="153" t="s">
        <v>306</v>
      </c>
      <c r="G1046" s="616"/>
      <c r="H1046" s="617"/>
      <c r="I1046" s="618"/>
      <c r="J1046" s="616"/>
      <c r="K1046" s="617"/>
      <c r="L1046" s="618"/>
      <c r="M1046" s="255"/>
      <c r="N1046" s="256"/>
      <c r="O1046" s="388"/>
      <c r="AD1046" s="244"/>
      <c r="AE1046" s="341" t="str">
        <f>IF(OR(AM1046="",AM1046=0,AJ1046="",AG1046=""),"",
(IF(AND(AF1040=$P$4,AM1046&lt;=$R$4),$V$4,0)+IF(AND(AF1040=$P$5,AM1046&lt;=$R$5),$V$5,0)+IF(AND(AF1040=$P$6,AM1046&lt;=$R$6),$V$6,0)+IF(AND(AF1040=$P$7,AM1046&lt;=$R$7),$V$7,0))
)</f>
        <v/>
      </c>
      <c r="AF1046" s="153" t="s">
        <v>306</v>
      </c>
      <c r="AG1046" s="598"/>
      <c r="AH1046" s="599"/>
      <c r="AI1046" s="600"/>
      <c r="AJ1046" s="598"/>
      <c r="AK1046" s="599"/>
      <c r="AL1046" s="600"/>
      <c r="AM1046" s="384"/>
      <c r="AN1046" s="256"/>
      <c r="AO1046" s="388"/>
    </row>
    <row r="1047" spans="4:50" x14ac:dyDescent="0.3">
      <c r="D1047" s="244"/>
      <c r="E1047" s="341" t="str">
        <f>IF(OR(M1047="",M1047=0,J1047="",G1047=""),"",
(IF(AND(F1040=$P$4,M1047&lt;=$R$4),$V$4,0)+IF(AND(F1040=$P$5,M1047&lt;=$R$5),$V$5,0)+IF(AND(F1040=$P$6,M1047&lt;=$R$6),$V$6,0)+IF(AND(F1040=$P$7,M1047&lt;=$R$7),$V$7,0))
)</f>
        <v/>
      </c>
      <c r="F1047" s="153" t="s">
        <v>307</v>
      </c>
      <c r="G1047" s="616"/>
      <c r="H1047" s="617"/>
      <c r="I1047" s="618"/>
      <c r="J1047" s="616"/>
      <c r="K1047" s="617"/>
      <c r="L1047" s="618"/>
      <c r="M1047" s="255"/>
      <c r="N1047" s="256"/>
      <c r="O1047" s="388"/>
      <c r="AD1047" s="244"/>
      <c r="AE1047" s="341" t="str">
        <f>IF(OR(AM1047="",AM1047=0,AJ1047="",AG1047=""),"",
(IF(AND(AF1040=$P$4,AM1047&lt;=$R$4),$V$4,0)+IF(AND(AF1040=$P$5,AM1047&lt;=$R$5),$V$5,0)+IF(AND(AF1040=$P$6,AM1047&lt;=$R$6),$V$6,0)+IF(AND(AF1040=$P$7,AM1047&lt;=$R$7),$V$7,0))
)</f>
        <v/>
      </c>
      <c r="AF1047" s="153" t="s">
        <v>307</v>
      </c>
      <c r="AG1047" s="598"/>
      <c r="AH1047" s="599"/>
      <c r="AI1047" s="600"/>
      <c r="AJ1047" s="598"/>
      <c r="AK1047" s="599"/>
      <c r="AL1047" s="600"/>
      <c r="AM1047" s="384"/>
      <c r="AN1047" s="256"/>
      <c r="AO1047" s="388"/>
    </row>
    <row r="1048" spans="4:50" x14ac:dyDescent="0.3">
      <c r="D1048" s="244"/>
      <c r="E1048" s="341" t="str">
        <f>IF(OR(M1048="",M1048=0,J1048="",G1048=""),"",
(IF(AND(F1040=$P$4,M1048&lt;=$R$4),$V$4,0)+IF(AND(F1040=$P$5,M1048&lt;=$R$5),$V$5,0)+IF(AND(F1040=$P$6,M1048&lt;=$R$6),$V$6,0)+IF(AND(F1040=$P$7,M1048&lt;=$R$7),$V$7,0))
)</f>
        <v/>
      </c>
      <c r="F1048" s="153" t="s">
        <v>308</v>
      </c>
      <c r="G1048" s="616"/>
      <c r="H1048" s="617"/>
      <c r="I1048" s="618"/>
      <c r="J1048" s="616"/>
      <c r="K1048" s="617"/>
      <c r="L1048" s="618"/>
      <c r="M1048" s="255"/>
      <c r="N1048" s="256"/>
      <c r="O1048" s="388"/>
      <c r="AD1048" s="244"/>
      <c r="AE1048" s="341" t="str">
        <f>IF(OR(AM1048="",AM1048=0,AJ1048="",AG1048=""),"",
(IF(AND(AF1040=$P$4,AM1048&lt;=$R$4),$V$4,0)+IF(AND(AF1040=$P$5,AM1048&lt;=$R$5),$V$5,0)+IF(AND(AF1040=$P$6,AM1048&lt;=$R$6),$V$6,0)+IF(AND(AF1040=$P$7,AM1048&lt;=$R$7),$V$7,0))
)</f>
        <v/>
      </c>
      <c r="AF1048" s="153" t="s">
        <v>308</v>
      </c>
      <c r="AG1048" s="598"/>
      <c r="AH1048" s="599"/>
      <c r="AI1048" s="600"/>
      <c r="AJ1048" s="598"/>
      <c r="AK1048" s="599"/>
      <c r="AL1048" s="600"/>
      <c r="AM1048" s="384"/>
      <c r="AN1048" s="256"/>
      <c r="AO1048" s="388"/>
    </row>
    <row r="1049" spans="4:50" ht="16.2" thickBot="1" x14ac:dyDescent="0.35">
      <c r="D1049" s="203"/>
      <c r="E1049" s="3"/>
      <c r="F1049" s="3"/>
      <c r="G1049" s="3"/>
      <c r="H1049" s="3"/>
      <c r="I1049" s="3"/>
      <c r="J1049" s="3"/>
      <c r="K1049" s="3"/>
      <c r="L1049" s="3"/>
      <c r="M1049" s="3"/>
      <c r="N1049" s="204"/>
      <c r="P1049" s="2"/>
      <c r="AD1049" s="203"/>
      <c r="AE1049" s="3"/>
      <c r="AF1049" s="3"/>
      <c r="AG1049" s="3"/>
      <c r="AH1049" s="3"/>
      <c r="AI1049" s="3"/>
      <c r="AJ1049" s="3"/>
      <c r="AK1049" s="3"/>
      <c r="AL1049" s="3"/>
      <c r="AM1049" s="3"/>
      <c r="AN1049" s="204"/>
      <c r="AP1049" s="2"/>
    </row>
    <row r="1050" spans="4:50" x14ac:dyDescent="0.3">
      <c r="D1050" s="601" t="str">
        <f>IF(
OR(
OR(F1052=$P$4,F1052=$P$5,F1052=$P$6,F1052=$P$7),AND(G1054="",G1055="",G1056="",G1057="",G1058="",G1059="",G1060="",J1054="",J1055="",J1056="",J1057="",J1058="",J1059="",J1060="",M1054="",M1055="",M1056="",M1057="",M1058="",M1059="",M1060="",K1051="",K1052="")
),
"",
"A Set-Aside must be selected."
)</f>
        <v/>
      </c>
      <c r="E1050" s="602"/>
      <c r="F1050" s="602"/>
      <c r="G1050" s="602"/>
      <c r="H1050" s="602"/>
      <c r="I1050" s="602"/>
      <c r="J1050" s="602"/>
      <c r="K1050" s="602"/>
      <c r="L1050" s="602"/>
      <c r="M1050" s="602"/>
      <c r="N1050" s="603"/>
      <c r="O1050" s="2"/>
      <c r="AD1050" s="601" t="str">
        <f>IF(
OR(
OR(AF1052=$P$4,AF1052=$P$5,AF1052=$P$6,AF1052=$P$7),AND(AG1054="",AG1055="",AG1056="",AG1057="",AG1058="",AG1059="",AG1060="",AJ1054="",AJ1055="",AJ1056="",AJ1057="",AJ1058="",AJ1059="",AJ1060="",AM1054="",AM1055="",AM1056="",AM1057="",AM1058="",AM1059="",AM1060="",AK1051="",AK1052="")
),
"",
"A Set-Aside must be selected."
)</f>
        <v/>
      </c>
      <c r="AE1050" s="602"/>
      <c r="AF1050" s="602"/>
      <c r="AG1050" s="602"/>
      <c r="AH1050" s="602"/>
      <c r="AI1050" s="602"/>
      <c r="AJ1050" s="602"/>
      <c r="AK1050" s="602"/>
      <c r="AL1050" s="602"/>
      <c r="AM1050" s="602"/>
      <c r="AN1050" s="603"/>
      <c r="AO1050" s="2"/>
    </row>
    <row r="1051" spans="4:50" ht="15.75" customHeight="1" x14ac:dyDescent="0.3">
      <c r="D1051" s="199"/>
      <c r="E1051" s="9" t="s">
        <v>30</v>
      </c>
      <c r="F1051" s="86">
        <f>F1039+1</f>
        <v>85</v>
      </c>
      <c r="G1051" s="9" t="s">
        <v>175</v>
      </c>
      <c r="H1051" s="9"/>
      <c r="I1051" s="9"/>
      <c r="J1051" s="168" t="s">
        <v>111</v>
      </c>
      <c r="K1051" s="148"/>
      <c r="N1051" s="200"/>
      <c r="R1051" s="596" t="s">
        <v>302</v>
      </c>
      <c r="S1051" s="596" t="s">
        <v>303</v>
      </c>
      <c r="T1051" s="596" t="s">
        <v>304</v>
      </c>
      <c r="U1051" s="596" t="s">
        <v>305</v>
      </c>
      <c r="V1051" s="596" t="s">
        <v>306</v>
      </c>
      <c r="W1051" s="596" t="s">
        <v>307</v>
      </c>
      <c r="X1051" s="596" t="s">
        <v>308</v>
      </c>
      <c r="AD1051" s="199"/>
      <c r="AE1051" s="9" t="s">
        <v>30</v>
      </c>
      <c r="AF1051" s="86">
        <f>AF1039+1</f>
        <v>85</v>
      </c>
      <c r="AG1051" s="9" t="s">
        <v>175</v>
      </c>
      <c r="AH1051" s="9"/>
      <c r="AI1051" s="9"/>
      <c r="AJ1051" s="168" t="s">
        <v>111</v>
      </c>
      <c r="AK1051" s="382"/>
      <c r="AN1051" s="200"/>
      <c r="AR1051" s="596" t="s">
        <v>302</v>
      </c>
      <c r="AS1051" s="596" t="s">
        <v>303</v>
      </c>
      <c r="AT1051" s="596" t="s">
        <v>304</v>
      </c>
      <c r="AU1051" s="596" t="s">
        <v>305</v>
      </c>
      <c r="AV1051" s="596" t="s">
        <v>306</v>
      </c>
      <c r="AW1051" s="596" t="s">
        <v>307</v>
      </c>
      <c r="AX1051" s="596" t="s">
        <v>308</v>
      </c>
    </row>
    <row r="1052" spans="4:50" x14ac:dyDescent="0.3">
      <c r="D1052" s="604" t="s">
        <v>31</v>
      </c>
      <c r="E1052" s="594"/>
      <c r="F1052" s="151"/>
      <c r="G1052" s="86" t="str">
        <f>IF(F1052=$P$4,$Q$4,IF(F1052=$P$5,$Q$5,IF(F1052=$P$6,$Q$6,IF(F1052=$P$7,Q$7,IF(F1052=$P$8,"","")))))</f>
        <v/>
      </c>
      <c r="H1052" s="201"/>
      <c r="I1052" s="201"/>
      <c r="J1052" s="168" t="s">
        <v>112</v>
      </c>
      <c r="K1052" s="148"/>
      <c r="N1052" s="200"/>
      <c r="R1052" s="596"/>
      <c r="S1052" s="596"/>
      <c r="T1052" s="596"/>
      <c r="U1052" s="596"/>
      <c r="V1052" s="596"/>
      <c r="W1052" s="596"/>
      <c r="X1052" s="596"/>
      <c r="AD1052" s="604" t="s">
        <v>31</v>
      </c>
      <c r="AE1052" s="594"/>
      <c r="AF1052" s="383"/>
      <c r="AG1052" s="86" t="str">
        <f>IF(AF1052=$P$4,$Q$4,IF(AF1052=$P$5,$Q$5,IF(AF1052=$P$6,$Q$6,IF(AF1052=$P$7,AQ$7,IF(AF1052=$P$8,"","")))))</f>
        <v/>
      </c>
      <c r="AH1052" s="201"/>
      <c r="AI1052" s="201"/>
      <c r="AJ1052" s="168" t="s">
        <v>112</v>
      </c>
      <c r="AK1052" s="382"/>
      <c r="AN1052" s="200"/>
      <c r="AR1052" s="596"/>
      <c r="AS1052" s="596"/>
      <c r="AT1052" s="596"/>
      <c r="AU1052" s="596"/>
      <c r="AV1052" s="596"/>
      <c r="AW1052" s="596"/>
      <c r="AX1052" s="596"/>
    </row>
    <row r="1053" spans="4:50" x14ac:dyDescent="0.3">
      <c r="D1053" s="244"/>
      <c r="E1053" s="230" t="s">
        <v>52</v>
      </c>
      <c r="F1053" s="9" t="s">
        <v>32</v>
      </c>
      <c r="G1053" s="9" t="s">
        <v>33</v>
      </c>
      <c r="H1053" s="9"/>
      <c r="I1053" s="9"/>
      <c r="J1053" s="9" t="s">
        <v>34</v>
      </c>
      <c r="K1053" s="9"/>
      <c r="L1053" s="9"/>
      <c r="M1053" s="257" t="s">
        <v>35</v>
      </c>
      <c r="N1053" s="202"/>
      <c r="O1053" s="9"/>
      <c r="P1053" s="198" t="s">
        <v>22</v>
      </c>
      <c r="Q1053" s="198"/>
      <c r="R1053" s="596"/>
      <c r="S1053" s="596"/>
      <c r="T1053" s="596"/>
      <c r="U1053" s="596"/>
      <c r="V1053" s="596"/>
      <c r="W1053" s="596"/>
      <c r="X1053" s="596"/>
      <c r="AD1053" s="244"/>
      <c r="AE1053" s="230" t="s">
        <v>52</v>
      </c>
      <c r="AF1053" s="9" t="s">
        <v>32</v>
      </c>
      <c r="AG1053" s="9" t="s">
        <v>33</v>
      </c>
      <c r="AH1053" s="9"/>
      <c r="AI1053" s="9"/>
      <c r="AJ1053" s="9" t="s">
        <v>34</v>
      </c>
      <c r="AK1053" s="9"/>
      <c r="AL1053" s="9"/>
      <c r="AM1053" s="257" t="s">
        <v>35</v>
      </c>
      <c r="AN1053" s="202"/>
      <c r="AO1053" s="9"/>
      <c r="AP1053" s="198" t="s">
        <v>22</v>
      </c>
      <c r="AQ1053" s="198"/>
      <c r="AR1053" s="596"/>
      <c r="AS1053" s="596"/>
      <c r="AT1053" s="596"/>
      <c r="AU1053" s="596"/>
      <c r="AV1053" s="596"/>
      <c r="AW1053" s="596"/>
      <c r="AX1053" s="596"/>
    </row>
    <row r="1054" spans="4:50" x14ac:dyDescent="0.3">
      <c r="D1054" s="244"/>
      <c r="E1054" s="355" t="str">
        <f>IF(OR(M1054="",M1054=0,J1054="",G1054=""),"",
(IF(AND(F1052=$P$4,M1054&lt;=$R$4),$V$4,0)+IF(AND(F1052=$P$5,M1054&lt;=$R$5),$V$5,0)+IF(AND(F1052=$P$6,M1054&lt;=$R$6),$V$6,0)+IF(AND(F1052=$P$7,M1054&lt;=$R$7),$V$7,0))
)</f>
        <v/>
      </c>
      <c r="F1054" s="153" t="s">
        <v>302</v>
      </c>
      <c r="G1054" s="616"/>
      <c r="H1054" s="617"/>
      <c r="I1054" s="618"/>
      <c r="J1054" s="616"/>
      <c r="K1054" s="617"/>
      <c r="L1054" s="618"/>
      <c r="M1054" s="255"/>
      <c r="N1054" s="256"/>
      <c r="O1054" s="388"/>
      <c r="P1054" s="185">
        <f t="shared" ref="P1054" si="1343">IF(F1052="",0,1)</f>
        <v>0</v>
      </c>
      <c r="R1054" s="185" t="str">
        <f t="shared" ref="R1054" si="1344">E1054</f>
        <v/>
      </c>
      <c r="S1054" s="185" t="str">
        <f t="shared" ref="S1054" si="1345">E1055</f>
        <v/>
      </c>
      <c r="T1054" s="185" t="str">
        <f t="shared" ref="T1054" si="1346">E1056</f>
        <v/>
      </c>
      <c r="U1054" s="185" t="str">
        <f t="shared" ref="U1054" si="1347">E1057</f>
        <v/>
      </c>
      <c r="V1054" s="185" t="str">
        <f t="shared" ref="V1054" si="1348">E1058</f>
        <v/>
      </c>
      <c r="W1054" s="185" t="str">
        <f t="shared" ref="W1054" si="1349">E1059</f>
        <v/>
      </c>
      <c r="X1054" s="185" t="str">
        <f t="shared" ref="X1054" si="1350">E1060</f>
        <v/>
      </c>
      <c r="AD1054" s="244"/>
      <c r="AE1054" s="355" t="str">
        <f>IF(OR(AM1054="",AM1054=0,AJ1054="",AG1054=""),"",
(IF(AND(AF1052=$P$4,AM1054&lt;=$R$4),$V$4,0)+IF(AND(AF1052=$P$5,AM1054&lt;=$R$5),$V$5,0)+IF(AND(AF1052=$P$6,AM1054&lt;=$R$6),$V$6,0)+IF(AND(AF1052=$P$7,AM1054&lt;=$R$7),$V$7,0))
)</f>
        <v/>
      </c>
      <c r="AF1054" s="153" t="s">
        <v>302</v>
      </c>
      <c r="AG1054" s="598"/>
      <c r="AH1054" s="599"/>
      <c r="AI1054" s="600"/>
      <c r="AJ1054" s="598"/>
      <c r="AK1054" s="599"/>
      <c r="AL1054" s="600"/>
      <c r="AM1054" s="384"/>
      <c r="AN1054" s="256"/>
      <c r="AO1054" s="388"/>
      <c r="AP1054" s="185">
        <f t="shared" ref="AP1054" si="1351">IF(AF1052="",0,1)</f>
        <v>0</v>
      </c>
      <c r="AR1054" s="185" t="str">
        <f t="shared" ref="AR1054" si="1352">AE1054</f>
        <v/>
      </c>
      <c r="AS1054" s="185" t="str">
        <f t="shared" ref="AS1054" si="1353">AE1055</f>
        <v/>
      </c>
      <c r="AT1054" s="185" t="str">
        <f t="shared" ref="AT1054" si="1354">AE1056</f>
        <v/>
      </c>
      <c r="AU1054" s="185" t="str">
        <f t="shared" ref="AU1054" si="1355">AE1057</f>
        <v/>
      </c>
      <c r="AV1054" s="185" t="str">
        <f t="shared" ref="AV1054" si="1356">AE1058</f>
        <v/>
      </c>
      <c r="AW1054" s="185" t="str">
        <f t="shared" ref="AW1054" si="1357">AE1059</f>
        <v/>
      </c>
      <c r="AX1054" s="185" t="str">
        <f t="shared" ref="AX1054" si="1358">AE1060</f>
        <v/>
      </c>
    </row>
    <row r="1055" spans="4:50" x14ac:dyDescent="0.3">
      <c r="D1055" s="244"/>
      <c r="E1055" s="341" t="str">
        <f>IF(OR(M1055="",M1055=0,J1055="",G1055=""),"",
(IF(AND(F1052=$P$4,M1055&lt;=$R$4),$V$4,0)+IF(AND(F1052=$P$5,M1055&lt;=$R$5),$V$5,0)+IF(AND(F1052=$P$6,M1055&lt;=$R$6),$V$6,0)+IF(AND(F1052=$P$7,M1055&lt;=$R$7),$V$7,0))
)</f>
        <v/>
      </c>
      <c r="F1055" s="153" t="s">
        <v>303</v>
      </c>
      <c r="G1055" s="616"/>
      <c r="H1055" s="617"/>
      <c r="I1055" s="618"/>
      <c r="J1055" s="616"/>
      <c r="K1055" s="617"/>
      <c r="L1055" s="618"/>
      <c r="M1055" s="255"/>
      <c r="N1055" s="256"/>
      <c r="O1055" s="388"/>
      <c r="AD1055" s="244"/>
      <c r="AE1055" s="341" t="str">
        <f>IF(OR(AM1055="",AM1055=0,AJ1055="",AG1055=""),"",
(IF(AND(AF1052=$P$4,AM1055&lt;=$R$4),$V$4,0)+IF(AND(AF1052=$P$5,AM1055&lt;=$R$5),$V$5,0)+IF(AND(AF1052=$P$6,AM1055&lt;=$R$6),$V$6,0)+IF(AND(AF1052=$P$7,AM1055&lt;=$R$7),$V$7,0))
)</f>
        <v/>
      </c>
      <c r="AF1055" s="153" t="s">
        <v>303</v>
      </c>
      <c r="AG1055" s="598"/>
      <c r="AH1055" s="599"/>
      <c r="AI1055" s="600"/>
      <c r="AJ1055" s="598"/>
      <c r="AK1055" s="599"/>
      <c r="AL1055" s="600"/>
      <c r="AM1055" s="384"/>
      <c r="AN1055" s="256"/>
      <c r="AO1055" s="388"/>
    </row>
    <row r="1056" spans="4:50" x14ac:dyDescent="0.3">
      <c r="D1056" s="244"/>
      <c r="E1056" s="341" t="str">
        <f>IF(OR(M1056="",M1056=0,J1056="",G1056=""),"",
(IF(AND(F1052=$P$4,M1056&lt;=$R$4),$V$4,0)+IF(AND(F1052=$P$5,M1056&lt;=$R$5),$V$5,0)+IF(AND(F1052=$P$6,M1056&lt;=$R$6),$V$6,0)+IF(AND(F1052=$P$7,M1056&lt;=$R$7),$V$7,0))
)</f>
        <v/>
      </c>
      <c r="F1056" s="153" t="s">
        <v>304</v>
      </c>
      <c r="G1056" s="616"/>
      <c r="H1056" s="617"/>
      <c r="I1056" s="618"/>
      <c r="J1056" s="616"/>
      <c r="K1056" s="617"/>
      <c r="L1056" s="618"/>
      <c r="M1056" s="255"/>
      <c r="N1056" s="256"/>
      <c r="O1056" s="388"/>
      <c r="AD1056" s="244"/>
      <c r="AE1056" s="341" t="str">
        <f>IF(OR(AM1056="",AM1056=0,AJ1056="",AG1056=""),"",
(IF(AND(AF1052=$P$4,AM1056&lt;=$R$4),$V$4,0)+IF(AND(AF1052=$P$5,AM1056&lt;=$R$5),$V$5,0)+IF(AND(AF1052=$P$6,AM1056&lt;=$R$6),$V$6,0)+IF(AND(AF1052=$P$7,AM1056&lt;=$R$7),$V$7,0))
)</f>
        <v/>
      </c>
      <c r="AF1056" s="153" t="s">
        <v>304</v>
      </c>
      <c r="AG1056" s="598"/>
      <c r="AH1056" s="599"/>
      <c r="AI1056" s="600"/>
      <c r="AJ1056" s="598"/>
      <c r="AK1056" s="599"/>
      <c r="AL1056" s="600"/>
      <c r="AM1056" s="384"/>
      <c r="AN1056" s="256"/>
      <c r="AO1056" s="388"/>
    </row>
    <row r="1057" spans="4:50" x14ac:dyDescent="0.3">
      <c r="D1057" s="244"/>
      <c r="E1057" s="341" t="str">
        <f>IF(OR(M1057="",M1057=0,J1057="",G1057=""),"",
(IF(AND(F1052=$P$4,M1057&lt;=$R$4),$V$4,0)+IF(AND(F1052=$P$5,M1057&lt;=$R$5),$V$5,0)+IF(AND(F1052=$P$6,M1057&lt;=$R$6),$V$6,0)+IF(AND(F1052=$P$7,M1057&lt;=$R$7),$V$7,0))
)</f>
        <v/>
      </c>
      <c r="F1057" s="153" t="s">
        <v>305</v>
      </c>
      <c r="G1057" s="616"/>
      <c r="H1057" s="617"/>
      <c r="I1057" s="618"/>
      <c r="J1057" s="616"/>
      <c r="K1057" s="617"/>
      <c r="L1057" s="618"/>
      <c r="M1057" s="255"/>
      <c r="N1057" s="256"/>
      <c r="O1057" s="388"/>
      <c r="AD1057" s="244"/>
      <c r="AE1057" s="341" t="str">
        <f>IF(OR(AM1057="",AM1057=0,AJ1057="",AG1057=""),"",
(IF(AND(AF1052=$P$4,AM1057&lt;=$R$4),$V$4,0)+IF(AND(AF1052=$P$5,AM1057&lt;=$R$5),$V$5,0)+IF(AND(AF1052=$P$6,AM1057&lt;=$R$6),$V$6,0)+IF(AND(AF1052=$P$7,AM1057&lt;=$R$7),$V$7,0))
)</f>
        <v/>
      </c>
      <c r="AF1057" s="153" t="s">
        <v>305</v>
      </c>
      <c r="AG1057" s="598"/>
      <c r="AH1057" s="599"/>
      <c r="AI1057" s="600"/>
      <c r="AJ1057" s="598"/>
      <c r="AK1057" s="599"/>
      <c r="AL1057" s="600"/>
      <c r="AM1057" s="384"/>
      <c r="AN1057" s="256"/>
      <c r="AO1057" s="388"/>
    </row>
    <row r="1058" spans="4:50" x14ac:dyDescent="0.3">
      <c r="D1058" s="244"/>
      <c r="E1058" s="341" t="str">
        <f>IF(OR(M1058="",M1058=0,J1058="",G1058=""),"",
(IF(AND(F1052=$P$4,M1058&lt;=$R$4),$V$4,0)+IF(AND(F1052=$P$5,M1058&lt;=$R$5),$V$5,0)+IF(AND(F1052=$P$6,M1058&lt;=$R$6),$V$6,0)+IF(AND(F1052=$P$7,M1058&lt;=$R$7),$V$7,0))
)</f>
        <v/>
      </c>
      <c r="F1058" s="153" t="s">
        <v>306</v>
      </c>
      <c r="G1058" s="616"/>
      <c r="H1058" s="617"/>
      <c r="I1058" s="618"/>
      <c r="J1058" s="616"/>
      <c r="K1058" s="617"/>
      <c r="L1058" s="618"/>
      <c r="M1058" s="255"/>
      <c r="N1058" s="256"/>
      <c r="O1058" s="388"/>
      <c r="AD1058" s="244"/>
      <c r="AE1058" s="341" t="str">
        <f>IF(OR(AM1058="",AM1058=0,AJ1058="",AG1058=""),"",
(IF(AND(AF1052=$P$4,AM1058&lt;=$R$4),$V$4,0)+IF(AND(AF1052=$P$5,AM1058&lt;=$R$5),$V$5,0)+IF(AND(AF1052=$P$6,AM1058&lt;=$R$6),$V$6,0)+IF(AND(AF1052=$P$7,AM1058&lt;=$R$7),$V$7,0))
)</f>
        <v/>
      </c>
      <c r="AF1058" s="153" t="s">
        <v>306</v>
      </c>
      <c r="AG1058" s="598"/>
      <c r="AH1058" s="599"/>
      <c r="AI1058" s="600"/>
      <c r="AJ1058" s="598"/>
      <c r="AK1058" s="599"/>
      <c r="AL1058" s="600"/>
      <c r="AM1058" s="384"/>
      <c r="AN1058" s="256"/>
      <c r="AO1058" s="388"/>
    </row>
    <row r="1059" spans="4:50" x14ac:dyDescent="0.3">
      <c r="D1059" s="244"/>
      <c r="E1059" s="341" t="str">
        <f>IF(OR(M1059="",M1059=0,J1059="",G1059=""),"",
(IF(AND(F1052=$P$4,M1059&lt;=$R$4),$V$4,0)+IF(AND(F1052=$P$5,M1059&lt;=$R$5),$V$5,0)+IF(AND(F1052=$P$6,M1059&lt;=$R$6),$V$6,0)+IF(AND(F1052=$P$7,M1059&lt;=$R$7),$V$7,0))
)</f>
        <v/>
      </c>
      <c r="F1059" s="153" t="s">
        <v>307</v>
      </c>
      <c r="G1059" s="616"/>
      <c r="H1059" s="617"/>
      <c r="I1059" s="618"/>
      <c r="J1059" s="616"/>
      <c r="K1059" s="617"/>
      <c r="L1059" s="618"/>
      <c r="M1059" s="255"/>
      <c r="N1059" s="256"/>
      <c r="O1059" s="388"/>
      <c r="AD1059" s="244"/>
      <c r="AE1059" s="341" t="str">
        <f>IF(OR(AM1059="",AM1059=0,AJ1059="",AG1059=""),"",
(IF(AND(AF1052=$P$4,AM1059&lt;=$R$4),$V$4,0)+IF(AND(AF1052=$P$5,AM1059&lt;=$R$5),$V$5,0)+IF(AND(AF1052=$P$6,AM1059&lt;=$R$6),$V$6,0)+IF(AND(AF1052=$P$7,AM1059&lt;=$R$7),$V$7,0))
)</f>
        <v/>
      </c>
      <c r="AF1059" s="153" t="s">
        <v>307</v>
      </c>
      <c r="AG1059" s="598"/>
      <c r="AH1059" s="599"/>
      <c r="AI1059" s="600"/>
      <c r="AJ1059" s="598"/>
      <c r="AK1059" s="599"/>
      <c r="AL1059" s="600"/>
      <c r="AM1059" s="384"/>
      <c r="AN1059" s="256"/>
      <c r="AO1059" s="388"/>
    </row>
    <row r="1060" spans="4:50" x14ac:dyDescent="0.3">
      <c r="D1060" s="244"/>
      <c r="E1060" s="341" t="str">
        <f>IF(OR(M1060="",M1060=0,J1060="",G1060=""),"",
(IF(AND(F1052=$P$4,M1060&lt;=$R$4),$V$4,0)+IF(AND(F1052=$P$5,M1060&lt;=$R$5),$V$5,0)+IF(AND(F1052=$P$6,M1060&lt;=$R$6),$V$6,0)+IF(AND(F1052=$P$7,M1060&lt;=$R$7),$V$7,0))
)</f>
        <v/>
      </c>
      <c r="F1060" s="153" t="s">
        <v>308</v>
      </c>
      <c r="G1060" s="616"/>
      <c r="H1060" s="617"/>
      <c r="I1060" s="618"/>
      <c r="J1060" s="616"/>
      <c r="K1060" s="617"/>
      <c r="L1060" s="618"/>
      <c r="M1060" s="255"/>
      <c r="N1060" s="256"/>
      <c r="O1060" s="388"/>
      <c r="AD1060" s="244"/>
      <c r="AE1060" s="341" t="str">
        <f>IF(OR(AM1060="",AM1060=0,AJ1060="",AG1060=""),"",
(IF(AND(AF1052=$P$4,AM1060&lt;=$R$4),$V$4,0)+IF(AND(AF1052=$P$5,AM1060&lt;=$R$5),$V$5,0)+IF(AND(AF1052=$P$6,AM1060&lt;=$R$6),$V$6,0)+IF(AND(AF1052=$P$7,AM1060&lt;=$R$7),$V$7,0))
)</f>
        <v/>
      </c>
      <c r="AF1060" s="153" t="s">
        <v>308</v>
      </c>
      <c r="AG1060" s="598"/>
      <c r="AH1060" s="599"/>
      <c r="AI1060" s="600"/>
      <c r="AJ1060" s="598"/>
      <c r="AK1060" s="599"/>
      <c r="AL1060" s="600"/>
      <c r="AM1060" s="384"/>
      <c r="AN1060" s="256"/>
      <c r="AO1060" s="388"/>
    </row>
    <row r="1061" spans="4:50" ht="16.2" thickBot="1" x14ac:dyDescent="0.35">
      <c r="D1061" s="203"/>
      <c r="E1061" s="3"/>
      <c r="F1061" s="3"/>
      <c r="G1061" s="3"/>
      <c r="H1061" s="3"/>
      <c r="I1061" s="3"/>
      <c r="J1061" s="3"/>
      <c r="K1061" s="3"/>
      <c r="L1061" s="3"/>
      <c r="M1061" s="3"/>
      <c r="N1061" s="204"/>
      <c r="P1061" s="2"/>
      <c r="AD1061" s="203"/>
      <c r="AE1061" s="3"/>
      <c r="AF1061" s="3"/>
      <c r="AG1061" s="3"/>
      <c r="AH1061" s="3"/>
      <c r="AI1061" s="3"/>
      <c r="AJ1061" s="3"/>
      <c r="AK1061" s="3"/>
      <c r="AL1061" s="3"/>
      <c r="AM1061" s="3"/>
      <c r="AN1061" s="204"/>
      <c r="AP1061" s="2"/>
    </row>
    <row r="1062" spans="4:50" x14ac:dyDescent="0.3">
      <c r="D1062" s="601" t="str">
        <f>IF(
OR(
OR(F1064=$P$4,F1064=$P$5,F1064=$P$6,F1064=$P$7),AND(G1066="",G1067="",G1068="",G1069="",G1070="",G1071="",G1072="",J1066="",J1067="",J1068="",J1069="",J1070="",J1071="",J1072="",M1066="",M1067="",M1068="",M1069="",M1070="",M1071="",M1072="",K1063="",K1064="")
),
"",
"A Set-Aside must be selected."
)</f>
        <v/>
      </c>
      <c r="E1062" s="602"/>
      <c r="F1062" s="602"/>
      <c r="G1062" s="602"/>
      <c r="H1062" s="602"/>
      <c r="I1062" s="602"/>
      <c r="J1062" s="602"/>
      <c r="K1062" s="602"/>
      <c r="L1062" s="602"/>
      <c r="M1062" s="602"/>
      <c r="N1062" s="603"/>
      <c r="O1062" s="2"/>
      <c r="AD1062" s="601" t="str">
        <f>IF(
OR(
OR(AF1064=$P$4,AF1064=$P$5,AF1064=$P$6,AF1064=$P$7),AND(AG1066="",AG1067="",AG1068="",AG1069="",AG1070="",AG1071="",AG1072="",AJ1066="",AJ1067="",AJ1068="",AJ1069="",AJ1070="",AJ1071="",AJ1072="",AM1066="",AM1067="",AM1068="",AM1069="",AM1070="",AM1071="",AM1072="",AK1063="",AK1064="")
),
"",
"A Set-Aside must be selected."
)</f>
        <v/>
      </c>
      <c r="AE1062" s="602"/>
      <c r="AF1062" s="602"/>
      <c r="AG1062" s="602"/>
      <c r="AH1062" s="602"/>
      <c r="AI1062" s="602"/>
      <c r="AJ1062" s="602"/>
      <c r="AK1062" s="602"/>
      <c r="AL1062" s="602"/>
      <c r="AM1062" s="602"/>
      <c r="AN1062" s="603"/>
      <c r="AO1062" s="2"/>
    </row>
    <row r="1063" spans="4:50" ht="15.75" customHeight="1" x14ac:dyDescent="0.3">
      <c r="D1063" s="199"/>
      <c r="E1063" s="9" t="s">
        <v>30</v>
      </c>
      <c r="F1063" s="86">
        <f>F1051+1</f>
        <v>86</v>
      </c>
      <c r="G1063" s="9" t="s">
        <v>175</v>
      </c>
      <c r="H1063" s="9"/>
      <c r="I1063" s="9"/>
      <c r="J1063" s="168" t="s">
        <v>111</v>
      </c>
      <c r="K1063" s="148"/>
      <c r="N1063" s="200"/>
      <c r="R1063" s="596" t="s">
        <v>302</v>
      </c>
      <c r="S1063" s="596" t="s">
        <v>303</v>
      </c>
      <c r="T1063" s="596" t="s">
        <v>304</v>
      </c>
      <c r="U1063" s="596" t="s">
        <v>305</v>
      </c>
      <c r="V1063" s="596" t="s">
        <v>306</v>
      </c>
      <c r="W1063" s="596" t="s">
        <v>307</v>
      </c>
      <c r="X1063" s="596" t="s">
        <v>308</v>
      </c>
      <c r="AD1063" s="199"/>
      <c r="AE1063" s="9" t="s">
        <v>30</v>
      </c>
      <c r="AF1063" s="86">
        <f>AF1051+1</f>
        <v>86</v>
      </c>
      <c r="AG1063" s="9" t="s">
        <v>175</v>
      </c>
      <c r="AH1063" s="9"/>
      <c r="AI1063" s="9"/>
      <c r="AJ1063" s="168" t="s">
        <v>111</v>
      </c>
      <c r="AK1063" s="382"/>
      <c r="AN1063" s="200"/>
      <c r="AR1063" s="596" t="s">
        <v>302</v>
      </c>
      <c r="AS1063" s="596" t="s">
        <v>303</v>
      </c>
      <c r="AT1063" s="596" t="s">
        <v>304</v>
      </c>
      <c r="AU1063" s="596" t="s">
        <v>305</v>
      </c>
      <c r="AV1063" s="596" t="s">
        <v>306</v>
      </c>
      <c r="AW1063" s="596" t="s">
        <v>307</v>
      </c>
      <c r="AX1063" s="596" t="s">
        <v>308</v>
      </c>
    </row>
    <row r="1064" spans="4:50" x14ac:dyDescent="0.3">
      <c r="D1064" s="604" t="s">
        <v>31</v>
      </c>
      <c r="E1064" s="594"/>
      <c r="F1064" s="151"/>
      <c r="G1064" s="86" t="str">
        <f>IF(F1064=$P$4,$Q$4,IF(F1064=$P$5,$Q$5,IF(F1064=$P$6,$Q$6,IF(F1064=$P$7,Q$7,IF(F1064=$P$8,"","")))))</f>
        <v/>
      </c>
      <c r="H1064" s="201"/>
      <c r="I1064" s="201"/>
      <c r="J1064" s="168" t="s">
        <v>112</v>
      </c>
      <c r="K1064" s="148"/>
      <c r="N1064" s="200"/>
      <c r="R1064" s="596"/>
      <c r="S1064" s="596"/>
      <c r="T1064" s="596"/>
      <c r="U1064" s="596"/>
      <c r="V1064" s="596"/>
      <c r="W1064" s="596"/>
      <c r="X1064" s="596"/>
      <c r="AD1064" s="604" t="s">
        <v>31</v>
      </c>
      <c r="AE1064" s="594"/>
      <c r="AF1064" s="383"/>
      <c r="AG1064" s="86" t="str">
        <f>IF(AF1064=$P$4,$Q$4,IF(AF1064=$P$5,$Q$5,IF(AF1064=$P$6,$Q$6,IF(AF1064=$P$7,AQ$7,IF(AF1064=$P$8,"","")))))</f>
        <v/>
      </c>
      <c r="AH1064" s="201"/>
      <c r="AI1064" s="201"/>
      <c r="AJ1064" s="168" t="s">
        <v>112</v>
      </c>
      <c r="AK1064" s="382"/>
      <c r="AN1064" s="200"/>
      <c r="AR1064" s="596"/>
      <c r="AS1064" s="596"/>
      <c r="AT1064" s="596"/>
      <c r="AU1064" s="596"/>
      <c r="AV1064" s="596"/>
      <c r="AW1064" s="596"/>
      <c r="AX1064" s="596"/>
    </row>
    <row r="1065" spans="4:50" x14ac:dyDescent="0.3">
      <c r="D1065" s="244"/>
      <c r="E1065" s="230" t="s">
        <v>52</v>
      </c>
      <c r="F1065" s="9" t="s">
        <v>32</v>
      </c>
      <c r="G1065" s="9" t="s">
        <v>33</v>
      </c>
      <c r="H1065" s="9"/>
      <c r="I1065" s="9"/>
      <c r="J1065" s="9" t="s">
        <v>34</v>
      </c>
      <c r="K1065" s="9"/>
      <c r="L1065" s="9"/>
      <c r="M1065" s="257" t="s">
        <v>35</v>
      </c>
      <c r="N1065" s="202"/>
      <c r="O1065" s="9"/>
      <c r="P1065" s="198" t="s">
        <v>22</v>
      </c>
      <c r="Q1065" s="198"/>
      <c r="R1065" s="596"/>
      <c r="S1065" s="596"/>
      <c r="T1065" s="596"/>
      <c r="U1065" s="596"/>
      <c r="V1065" s="596"/>
      <c r="W1065" s="596"/>
      <c r="X1065" s="596"/>
      <c r="AD1065" s="244"/>
      <c r="AE1065" s="230" t="s">
        <v>52</v>
      </c>
      <c r="AF1065" s="9" t="s">
        <v>32</v>
      </c>
      <c r="AG1065" s="9" t="s">
        <v>33</v>
      </c>
      <c r="AH1065" s="9"/>
      <c r="AI1065" s="9"/>
      <c r="AJ1065" s="9" t="s">
        <v>34</v>
      </c>
      <c r="AK1065" s="9"/>
      <c r="AL1065" s="9"/>
      <c r="AM1065" s="257" t="s">
        <v>35</v>
      </c>
      <c r="AN1065" s="202"/>
      <c r="AO1065" s="9"/>
      <c r="AP1065" s="198" t="s">
        <v>22</v>
      </c>
      <c r="AQ1065" s="198"/>
      <c r="AR1065" s="596"/>
      <c r="AS1065" s="596"/>
      <c r="AT1065" s="596"/>
      <c r="AU1065" s="596"/>
      <c r="AV1065" s="596"/>
      <c r="AW1065" s="596"/>
      <c r="AX1065" s="596"/>
    </row>
    <row r="1066" spans="4:50" x14ac:dyDescent="0.3">
      <c r="D1066" s="244"/>
      <c r="E1066" s="355" t="str">
        <f>IF(OR(M1066="",M1066=0,J1066="",G1066=""),"",
(IF(AND(F1064=$P$4,M1066&lt;=$R$4),$V$4,0)+IF(AND(F1064=$P$5,M1066&lt;=$R$5),$V$5,0)+IF(AND(F1064=$P$6,M1066&lt;=$R$6),$V$6,0)+IF(AND(F1064=$P$7,M1066&lt;=$R$7),$V$7,0))
)</f>
        <v/>
      </c>
      <c r="F1066" s="153" t="s">
        <v>302</v>
      </c>
      <c r="G1066" s="616"/>
      <c r="H1066" s="617"/>
      <c r="I1066" s="618"/>
      <c r="J1066" s="616"/>
      <c r="K1066" s="617"/>
      <c r="L1066" s="618"/>
      <c r="M1066" s="255"/>
      <c r="N1066" s="256"/>
      <c r="O1066" s="388"/>
      <c r="P1066" s="185">
        <f t="shared" ref="P1066" si="1359">IF(F1064="",0,1)</f>
        <v>0</v>
      </c>
      <c r="R1066" s="185" t="str">
        <f t="shared" ref="R1066" si="1360">E1066</f>
        <v/>
      </c>
      <c r="S1066" s="185" t="str">
        <f t="shared" ref="S1066" si="1361">E1067</f>
        <v/>
      </c>
      <c r="T1066" s="185" t="str">
        <f t="shared" ref="T1066" si="1362">E1068</f>
        <v/>
      </c>
      <c r="U1066" s="185" t="str">
        <f t="shared" ref="U1066" si="1363">E1069</f>
        <v/>
      </c>
      <c r="V1066" s="185" t="str">
        <f t="shared" ref="V1066" si="1364">E1070</f>
        <v/>
      </c>
      <c r="W1066" s="185" t="str">
        <f t="shared" ref="W1066" si="1365">E1071</f>
        <v/>
      </c>
      <c r="X1066" s="185" t="str">
        <f t="shared" ref="X1066" si="1366">E1072</f>
        <v/>
      </c>
      <c r="AD1066" s="244"/>
      <c r="AE1066" s="355" t="str">
        <f>IF(OR(AM1066="",AM1066=0,AJ1066="",AG1066=""),"",
(IF(AND(AF1064=$P$4,AM1066&lt;=$R$4),$V$4,0)+IF(AND(AF1064=$P$5,AM1066&lt;=$R$5),$V$5,0)+IF(AND(AF1064=$P$6,AM1066&lt;=$R$6),$V$6,0)+IF(AND(AF1064=$P$7,AM1066&lt;=$R$7),$V$7,0))
)</f>
        <v/>
      </c>
      <c r="AF1066" s="153" t="s">
        <v>302</v>
      </c>
      <c r="AG1066" s="598"/>
      <c r="AH1066" s="599"/>
      <c r="AI1066" s="600"/>
      <c r="AJ1066" s="598"/>
      <c r="AK1066" s="599"/>
      <c r="AL1066" s="600"/>
      <c r="AM1066" s="384"/>
      <c r="AN1066" s="256"/>
      <c r="AO1066" s="388"/>
      <c r="AP1066" s="185">
        <f t="shared" ref="AP1066" si="1367">IF(AF1064="",0,1)</f>
        <v>0</v>
      </c>
      <c r="AR1066" s="185" t="str">
        <f t="shared" ref="AR1066" si="1368">AE1066</f>
        <v/>
      </c>
      <c r="AS1066" s="185" t="str">
        <f t="shared" ref="AS1066" si="1369">AE1067</f>
        <v/>
      </c>
      <c r="AT1066" s="185" t="str">
        <f t="shared" ref="AT1066" si="1370">AE1068</f>
        <v/>
      </c>
      <c r="AU1066" s="185" t="str">
        <f t="shared" ref="AU1066" si="1371">AE1069</f>
        <v/>
      </c>
      <c r="AV1066" s="185" t="str">
        <f t="shared" ref="AV1066" si="1372">AE1070</f>
        <v/>
      </c>
      <c r="AW1066" s="185" t="str">
        <f t="shared" ref="AW1066" si="1373">AE1071</f>
        <v/>
      </c>
      <c r="AX1066" s="185" t="str">
        <f t="shared" ref="AX1066" si="1374">AE1072</f>
        <v/>
      </c>
    </row>
    <row r="1067" spans="4:50" x14ac:dyDescent="0.3">
      <c r="D1067" s="244"/>
      <c r="E1067" s="341" t="str">
        <f>IF(OR(M1067="",M1067=0,J1067="",G1067=""),"",
(IF(AND(F1064=$P$4,M1067&lt;=$R$4),$V$4,0)+IF(AND(F1064=$P$5,M1067&lt;=$R$5),$V$5,0)+IF(AND(F1064=$P$6,M1067&lt;=$R$6),$V$6,0)+IF(AND(F1064=$P$7,M1067&lt;=$R$7),$V$7,0))
)</f>
        <v/>
      </c>
      <c r="F1067" s="153" t="s">
        <v>303</v>
      </c>
      <c r="G1067" s="616"/>
      <c r="H1067" s="617"/>
      <c r="I1067" s="618"/>
      <c r="J1067" s="616"/>
      <c r="K1067" s="617"/>
      <c r="L1067" s="618"/>
      <c r="M1067" s="255"/>
      <c r="N1067" s="256"/>
      <c r="O1067" s="388"/>
      <c r="AD1067" s="244"/>
      <c r="AE1067" s="341" t="str">
        <f>IF(OR(AM1067="",AM1067=0,AJ1067="",AG1067=""),"",
(IF(AND(AF1064=$P$4,AM1067&lt;=$R$4),$V$4,0)+IF(AND(AF1064=$P$5,AM1067&lt;=$R$5),$V$5,0)+IF(AND(AF1064=$P$6,AM1067&lt;=$R$6),$V$6,0)+IF(AND(AF1064=$P$7,AM1067&lt;=$R$7),$V$7,0))
)</f>
        <v/>
      </c>
      <c r="AF1067" s="153" t="s">
        <v>303</v>
      </c>
      <c r="AG1067" s="598"/>
      <c r="AH1067" s="599"/>
      <c r="AI1067" s="600"/>
      <c r="AJ1067" s="598"/>
      <c r="AK1067" s="599"/>
      <c r="AL1067" s="600"/>
      <c r="AM1067" s="384"/>
      <c r="AN1067" s="256"/>
      <c r="AO1067" s="388"/>
    </row>
    <row r="1068" spans="4:50" x14ac:dyDescent="0.3">
      <c r="D1068" s="244"/>
      <c r="E1068" s="341" t="str">
        <f>IF(OR(M1068="",M1068=0,J1068="",G1068=""),"",
(IF(AND(F1064=$P$4,M1068&lt;=$R$4),$V$4,0)+IF(AND(F1064=$P$5,M1068&lt;=$R$5),$V$5,0)+IF(AND(F1064=$P$6,M1068&lt;=$R$6),$V$6,0)+IF(AND(F1064=$P$7,M1068&lt;=$R$7),$V$7,0))
)</f>
        <v/>
      </c>
      <c r="F1068" s="153" t="s">
        <v>304</v>
      </c>
      <c r="G1068" s="616"/>
      <c r="H1068" s="617"/>
      <c r="I1068" s="618"/>
      <c r="J1068" s="616"/>
      <c r="K1068" s="617"/>
      <c r="L1068" s="618"/>
      <c r="M1068" s="255"/>
      <c r="N1068" s="256"/>
      <c r="O1068" s="388"/>
      <c r="AD1068" s="244"/>
      <c r="AE1068" s="341" t="str">
        <f>IF(OR(AM1068="",AM1068=0,AJ1068="",AG1068=""),"",
(IF(AND(AF1064=$P$4,AM1068&lt;=$R$4),$V$4,0)+IF(AND(AF1064=$P$5,AM1068&lt;=$R$5),$V$5,0)+IF(AND(AF1064=$P$6,AM1068&lt;=$R$6),$V$6,0)+IF(AND(AF1064=$P$7,AM1068&lt;=$R$7),$V$7,0))
)</f>
        <v/>
      </c>
      <c r="AF1068" s="153" t="s">
        <v>304</v>
      </c>
      <c r="AG1068" s="598"/>
      <c r="AH1068" s="599"/>
      <c r="AI1068" s="600"/>
      <c r="AJ1068" s="598"/>
      <c r="AK1068" s="599"/>
      <c r="AL1068" s="600"/>
      <c r="AM1068" s="384"/>
      <c r="AN1068" s="256"/>
      <c r="AO1068" s="388"/>
    </row>
    <row r="1069" spans="4:50" x14ac:dyDescent="0.3">
      <c r="D1069" s="244"/>
      <c r="E1069" s="341" t="str">
        <f>IF(OR(M1069="",M1069=0,J1069="",G1069=""),"",
(IF(AND(F1064=$P$4,M1069&lt;=$R$4),$V$4,0)+IF(AND(F1064=$P$5,M1069&lt;=$R$5),$V$5,0)+IF(AND(F1064=$P$6,M1069&lt;=$R$6),$V$6,0)+IF(AND(F1064=$P$7,M1069&lt;=$R$7),$V$7,0))
)</f>
        <v/>
      </c>
      <c r="F1069" s="153" t="s">
        <v>305</v>
      </c>
      <c r="G1069" s="616"/>
      <c r="H1069" s="617"/>
      <c r="I1069" s="618"/>
      <c r="J1069" s="616"/>
      <c r="K1069" s="617"/>
      <c r="L1069" s="618"/>
      <c r="M1069" s="255"/>
      <c r="N1069" s="256"/>
      <c r="O1069" s="388"/>
      <c r="AD1069" s="244"/>
      <c r="AE1069" s="341" t="str">
        <f>IF(OR(AM1069="",AM1069=0,AJ1069="",AG1069=""),"",
(IF(AND(AF1064=$P$4,AM1069&lt;=$R$4),$V$4,0)+IF(AND(AF1064=$P$5,AM1069&lt;=$R$5),$V$5,0)+IF(AND(AF1064=$P$6,AM1069&lt;=$R$6),$V$6,0)+IF(AND(AF1064=$P$7,AM1069&lt;=$R$7),$V$7,0))
)</f>
        <v/>
      </c>
      <c r="AF1069" s="153" t="s">
        <v>305</v>
      </c>
      <c r="AG1069" s="598"/>
      <c r="AH1069" s="599"/>
      <c r="AI1069" s="600"/>
      <c r="AJ1069" s="598"/>
      <c r="AK1069" s="599"/>
      <c r="AL1069" s="600"/>
      <c r="AM1069" s="384"/>
      <c r="AN1069" s="256"/>
      <c r="AO1069" s="388"/>
    </row>
    <row r="1070" spans="4:50" x14ac:dyDescent="0.3">
      <c r="D1070" s="244"/>
      <c r="E1070" s="341" t="str">
        <f>IF(OR(M1070="",M1070=0,J1070="",G1070=""),"",
(IF(AND(F1064=$P$4,M1070&lt;=$R$4),$V$4,0)+IF(AND(F1064=$P$5,M1070&lt;=$R$5),$V$5,0)+IF(AND(F1064=$P$6,M1070&lt;=$R$6),$V$6,0)+IF(AND(F1064=$P$7,M1070&lt;=$R$7),$V$7,0))
)</f>
        <v/>
      </c>
      <c r="F1070" s="153" t="s">
        <v>306</v>
      </c>
      <c r="G1070" s="616"/>
      <c r="H1070" s="617"/>
      <c r="I1070" s="618"/>
      <c r="J1070" s="616"/>
      <c r="K1070" s="617"/>
      <c r="L1070" s="618"/>
      <c r="M1070" s="255"/>
      <c r="N1070" s="256"/>
      <c r="O1070" s="388"/>
      <c r="AD1070" s="244"/>
      <c r="AE1070" s="341" t="str">
        <f>IF(OR(AM1070="",AM1070=0,AJ1070="",AG1070=""),"",
(IF(AND(AF1064=$P$4,AM1070&lt;=$R$4),$V$4,0)+IF(AND(AF1064=$P$5,AM1070&lt;=$R$5),$V$5,0)+IF(AND(AF1064=$P$6,AM1070&lt;=$R$6),$V$6,0)+IF(AND(AF1064=$P$7,AM1070&lt;=$R$7),$V$7,0))
)</f>
        <v/>
      </c>
      <c r="AF1070" s="153" t="s">
        <v>306</v>
      </c>
      <c r="AG1070" s="598"/>
      <c r="AH1070" s="599"/>
      <c r="AI1070" s="600"/>
      <c r="AJ1070" s="598"/>
      <c r="AK1070" s="599"/>
      <c r="AL1070" s="600"/>
      <c r="AM1070" s="384"/>
      <c r="AN1070" s="256"/>
      <c r="AO1070" s="388"/>
    </row>
    <row r="1071" spans="4:50" x14ac:dyDescent="0.3">
      <c r="D1071" s="244"/>
      <c r="E1071" s="341" t="str">
        <f>IF(OR(M1071="",M1071=0,J1071="",G1071=""),"",
(IF(AND(F1064=$P$4,M1071&lt;=$R$4),$V$4,0)+IF(AND(F1064=$P$5,M1071&lt;=$R$5),$V$5,0)+IF(AND(F1064=$P$6,M1071&lt;=$R$6),$V$6,0)+IF(AND(F1064=$P$7,M1071&lt;=$R$7),$V$7,0))
)</f>
        <v/>
      </c>
      <c r="F1071" s="153" t="s">
        <v>307</v>
      </c>
      <c r="G1071" s="616"/>
      <c r="H1071" s="617"/>
      <c r="I1071" s="618"/>
      <c r="J1071" s="616"/>
      <c r="K1071" s="617"/>
      <c r="L1071" s="618"/>
      <c r="M1071" s="255"/>
      <c r="N1071" s="256"/>
      <c r="O1071" s="388"/>
      <c r="AD1071" s="244"/>
      <c r="AE1071" s="341" t="str">
        <f>IF(OR(AM1071="",AM1071=0,AJ1071="",AG1071=""),"",
(IF(AND(AF1064=$P$4,AM1071&lt;=$R$4),$V$4,0)+IF(AND(AF1064=$P$5,AM1071&lt;=$R$5),$V$5,0)+IF(AND(AF1064=$P$6,AM1071&lt;=$R$6),$V$6,0)+IF(AND(AF1064=$P$7,AM1071&lt;=$R$7),$V$7,0))
)</f>
        <v/>
      </c>
      <c r="AF1071" s="153" t="s">
        <v>307</v>
      </c>
      <c r="AG1071" s="598"/>
      <c r="AH1071" s="599"/>
      <c r="AI1071" s="600"/>
      <c r="AJ1071" s="598"/>
      <c r="AK1071" s="599"/>
      <c r="AL1071" s="600"/>
      <c r="AM1071" s="384"/>
      <c r="AN1071" s="256"/>
      <c r="AO1071" s="388"/>
    </row>
    <row r="1072" spans="4:50" x14ac:dyDescent="0.3">
      <c r="D1072" s="244"/>
      <c r="E1072" s="341" t="str">
        <f>IF(OR(M1072="",M1072=0,J1072="",G1072=""),"",
(IF(AND(F1064=$P$4,M1072&lt;=$R$4),$V$4,0)+IF(AND(F1064=$P$5,M1072&lt;=$R$5),$V$5,0)+IF(AND(F1064=$P$6,M1072&lt;=$R$6),$V$6,0)+IF(AND(F1064=$P$7,M1072&lt;=$R$7),$V$7,0))
)</f>
        <v/>
      </c>
      <c r="F1072" s="153" t="s">
        <v>308</v>
      </c>
      <c r="G1072" s="616"/>
      <c r="H1072" s="617"/>
      <c r="I1072" s="618"/>
      <c r="J1072" s="616"/>
      <c r="K1072" s="617"/>
      <c r="L1072" s="618"/>
      <c r="M1072" s="255"/>
      <c r="N1072" s="256"/>
      <c r="O1072" s="388"/>
      <c r="AD1072" s="244"/>
      <c r="AE1072" s="341" t="str">
        <f>IF(OR(AM1072="",AM1072=0,AJ1072="",AG1072=""),"",
(IF(AND(AF1064=$P$4,AM1072&lt;=$R$4),$V$4,0)+IF(AND(AF1064=$P$5,AM1072&lt;=$R$5),$V$5,0)+IF(AND(AF1064=$P$6,AM1072&lt;=$R$6),$V$6,0)+IF(AND(AF1064=$P$7,AM1072&lt;=$R$7),$V$7,0))
)</f>
        <v/>
      </c>
      <c r="AF1072" s="153" t="s">
        <v>308</v>
      </c>
      <c r="AG1072" s="598"/>
      <c r="AH1072" s="599"/>
      <c r="AI1072" s="600"/>
      <c r="AJ1072" s="598"/>
      <c r="AK1072" s="599"/>
      <c r="AL1072" s="600"/>
      <c r="AM1072" s="384"/>
      <c r="AN1072" s="256"/>
      <c r="AO1072" s="388"/>
    </row>
    <row r="1073" spans="4:50" ht="16.2" thickBot="1" x14ac:dyDescent="0.35">
      <c r="D1073" s="203"/>
      <c r="E1073" s="3"/>
      <c r="F1073" s="3"/>
      <c r="G1073" s="3"/>
      <c r="H1073" s="3"/>
      <c r="I1073" s="3"/>
      <c r="J1073" s="3"/>
      <c r="K1073" s="3"/>
      <c r="L1073" s="3"/>
      <c r="M1073" s="3"/>
      <c r="N1073" s="204"/>
      <c r="P1073" s="2"/>
      <c r="AD1073" s="203"/>
      <c r="AE1073" s="3"/>
      <c r="AF1073" s="3"/>
      <c r="AG1073" s="3"/>
      <c r="AH1073" s="3"/>
      <c r="AI1073" s="3"/>
      <c r="AJ1073" s="3"/>
      <c r="AK1073" s="3"/>
      <c r="AL1073" s="3"/>
      <c r="AM1073" s="3"/>
      <c r="AN1073" s="204"/>
      <c r="AP1073" s="2"/>
    </row>
    <row r="1074" spans="4:50" x14ac:dyDescent="0.3">
      <c r="D1074" s="601" t="str">
        <f>IF(
OR(
OR(F1076=$P$4,F1076=$P$5,F1076=$P$6,F1076=$P$7),AND(G1078="",G1079="",G1080="",G1081="",G1082="",G1083="",G1084="",J1078="",J1079="",J1080="",J1081="",J1082="",J1083="",J1084="",M1078="",M1079="",M1080="",M1081="",M1082="",M1083="",M1084="",K1075="",K1076="")
),
"",
"A Set-Aside must be selected."
)</f>
        <v/>
      </c>
      <c r="E1074" s="602"/>
      <c r="F1074" s="602"/>
      <c r="G1074" s="602"/>
      <c r="H1074" s="602"/>
      <c r="I1074" s="602"/>
      <c r="J1074" s="602"/>
      <c r="K1074" s="602"/>
      <c r="L1074" s="602"/>
      <c r="M1074" s="602"/>
      <c r="N1074" s="603"/>
      <c r="O1074" s="2"/>
      <c r="AD1074" s="601" t="str">
        <f>IF(
OR(
OR(AF1076=$P$4,AF1076=$P$5,AF1076=$P$6,AF1076=$P$7),AND(AG1078="",AG1079="",AG1080="",AG1081="",AG1082="",AG1083="",AG1084="",AJ1078="",AJ1079="",AJ1080="",AJ1081="",AJ1082="",AJ1083="",AJ1084="",AM1078="",AM1079="",AM1080="",AM1081="",AM1082="",AM1083="",AM1084="",AK1075="",AK1076="")
),
"",
"A Set-Aside must be selected."
)</f>
        <v/>
      </c>
      <c r="AE1074" s="602"/>
      <c r="AF1074" s="602"/>
      <c r="AG1074" s="602"/>
      <c r="AH1074" s="602"/>
      <c r="AI1074" s="602"/>
      <c r="AJ1074" s="602"/>
      <c r="AK1074" s="602"/>
      <c r="AL1074" s="602"/>
      <c r="AM1074" s="602"/>
      <c r="AN1074" s="603"/>
      <c r="AO1074" s="2"/>
    </row>
    <row r="1075" spans="4:50" ht="15.75" customHeight="1" x14ac:dyDescent="0.3">
      <c r="D1075" s="199"/>
      <c r="E1075" s="9" t="s">
        <v>30</v>
      </c>
      <c r="F1075" s="86">
        <f>F1063+1</f>
        <v>87</v>
      </c>
      <c r="G1075" s="9" t="s">
        <v>175</v>
      </c>
      <c r="H1075" s="9"/>
      <c r="I1075" s="9"/>
      <c r="J1075" s="168" t="s">
        <v>111</v>
      </c>
      <c r="K1075" s="148"/>
      <c r="N1075" s="200"/>
      <c r="R1075" s="596" t="s">
        <v>302</v>
      </c>
      <c r="S1075" s="596" t="s">
        <v>303</v>
      </c>
      <c r="T1075" s="596" t="s">
        <v>304</v>
      </c>
      <c r="U1075" s="596" t="s">
        <v>305</v>
      </c>
      <c r="V1075" s="596" t="s">
        <v>306</v>
      </c>
      <c r="W1075" s="596" t="s">
        <v>307</v>
      </c>
      <c r="X1075" s="596" t="s">
        <v>308</v>
      </c>
      <c r="AD1075" s="199"/>
      <c r="AE1075" s="9" t="s">
        <v>30</v>
      </c>
      <c r="AF1075" s="86">
        <f>AF1063+1</f>
        <v>87</v>
      </c>
      <c r="AG1075" s="9" t="s">
        <v>175</v>
      </c>
      <c r="AH1075" s="9"/>
      <c r="AI1075" s="9"/>
      <c r="AJ1075" s="168" t="s">
        <v>111</v>
      </c>
      <c r="AK1075" s="382"/>
      <c r="AN1075" s="200"/>
      <c r="AR1075" s="596" t="s">
        <v>302</v>
      </c>
      <c r="AS1075" s="596" t="s">
        <v>303</v>
      </c>
      <c r="AT1075" s="596" t="s">
        <v>304</v>
      </c>
      <c r="AU1075" s="596" t="s">
        <v>305</v>
      </c>
      <c r="AV1075" s="596" t="s">
        <v>306</v>
      </c>
      <c r="AW1075" s="596" t="s">
        <v>307</v>
      </c>
      <c r="AX1075" s="596" t="s">
        <v>308</v>
      </c>
    </row>
    <row r="1076" spans="4:50" x14ac:dyDescent="0.3">
      <c r="D1076" s="604" t="s">
        <v>31</v>
      </c>
      <c r="E1076" s="594"/>
      <c r="F1076" s="151"/>
      <c r="G1076" s="86" t="str">
        <f>IF(F1076=$P$4,$Q$4,IF(F1076=$P$5,$Q$5,IF(F1076=$P$6,$Q$6,IF(F1076=$P$7,Q$7,IF(F1076=$P$8,"","")))))</f>
        <v/>
      </c>
      <c r="H1076" s="201"/>
      <c r="I1076" s="201"/>
      <c r="J1076" s="168" t="s">
        <v>112</v>
      </c>
      <c r="K1076" s="148"/>
      <c r="N1076" s="200"/>
      <c r="R1076" s="596"/>
      <c r="S1076" s="596"/>
      <c r="T1076" s="596"/>
      <c r="U1076" s="596"/>
      <c r="V1076" s="596"/>
      <c r="W1076" s="596"/>
      <c r="X1076" s="596"/>
      <c r="AD1076" s="604" t="s">
        <v>31</v>
      </c>
      <c r="AE1076" s="594"/>
      <c r="AF1076" s="383"/>
      <c r="AG1076" s="86" t="str">
        <f>IF(AF1076=$P$4,$Q$4,IF(AF1076=$P$5,$Q$5,IF(AF1076=$P$6,$Q$6,IF(AF1076=$P$7,AQ$7,IF(AF1076=$P$8,"","")))))</f>
        <v/>
      </c>
      <c r="AH1076" s="201"/>
      <c r="AI1076" s="201"/>
      <c r="AJ1076" s="168" t="s">
        <v>112</v>
      </c>
      <c r="AK1076" s="382"/>
      <c r="AN1076" s="200"/>
      <c r="AR1076" s="596"/>
      <c r="AS1076" s="596"/>
      <c r="AT1076" s="596"/>
      <c r="AU1076" s="596"/>
      <c r="AV1076" s="596"/>
      <c r="AW1076" s="596"/>
      <c r="AX1076" s="596"/>
    </row>
    <row r="1077" spans="4:50" x14ac:dyDescent="0.3">
      <c r="D1077" s="244"/>
      <c r="E1077" s="230" t="s">
        <v>52</v>
      </c>
      <c r="F1077" s="9" t="s">
        <v>32</v>
      </c>
      <c r="G1077" s="9" t="s">
        <v>33</v>
      </c>
      <c r="H1077" s="9"/>
      <c r="I1077" s="9"/>
      <c r="J1077" s="9" t="s">
        <v>34</v>
      </c>
      <c r="K1077" s="9"/>
      <c r="L1077" s="9"/>
      <c r="M1077" s="257" t="s">
        <v>35</v>
      </c>
      <c r="N1077" s="202"/>
      <c r="O1077" s="9"/>
      <c r="P1077" s="198" t="s">
        <v>22</v>
      </c>
      <c r="Q1077" s="198"/>
      <c r="R1077" s="596"/>
      <c r="S1077" s="596"/>
      <c r="T1077" s="596"/>
      <c r="U1077" s="596"/>
      <c r="V1077" s="596"/>
      <c r="W1077" s="596"/>
      <c r="X1077" s="596"/>
      <c r="AD1077" s="244"/>
      <c r="AE1077" s="230" t="s">
        <v>52</v>
      </c>
      <c r="AF1077" s="9" t="s">
        <v>32</v>
      </c>
      <c r="AG1077" s="9" t="s">
        <v>33</v>
      </c>
      <c r="AH1077" s="9"/>
      <c r="AI1077" s="9"/>
      <c r="AJ1077" s="9" t="s">
        <v>34</v>
      </c>
      <c r="AK1077" s="9"/>
      <c r="AL1077" s="9"/>
      <c r="AM1077" s="257" t="s">
        <v>35</v>
      </c>
      <c r="AN1077" s="202"/>
      <c r="AO1077" s="9"/>
      <c r="AP1077" s="198" t="s">
        <v>22</v>
      </c>
      <c r="AQ1077" s="198"/>
      <c r="AR1077" s="596"/>
      <c r="AS1077" s="596"/>
      <c r="AT1077" s="596"/>
      <c r="AU1077" s="596"/>
      <c r="AV1077" s="596"/>
      <c r="AW1077" s="596"/>
      <c r="AX1077" s="596"/>
    </row>
    <row r="1078" spans="4:50" x14ac:dyDescent="0.3">
      <c r="D1078" s="244"/>
      <c r="E1078" s="355" t="str">
        <f>IF(OR(M1078="",M1078=0,J1078="",G1078=""),"",
(IF(AND(F1076=$P$4,M1078&lt;=$R$4),$V$4,0)+IF(AND(F1076=$P$5,M1078&lt;=$R$5),$V$5,0)+IF(AND(F1076=$P$6,M1078&lt;=$R$6),$V$6,0)+IF(AND(F1076=$P$7,M1078&lt;=$R$7),$V$7,0))
)</f>
        <v/>
      </c>
      <c r="F1078" s="153" t="s">
        <v>302</v>
      </c>
      <c r="G1078" s="616"/>
      <c r="H1078" s="617"/>
      <c r="I1078" s="618"/>
      <c r="J1078" s="616"/>
      <c r="K1078" s="617"/>
      <c r="L1078" s="618"/>
      <c r="M1078" s="255"/>
      <c r="N1078" s="256"/>
      <c r="O1078" s="388"/>
      <c r="P1078" s="185">
        <f t="shared" ref="P1078" si="1375">IF(F1076="",0,1)</f>
        <v>0</v>
      </c>
      <c r="R1078" s="185" t="str">
        <f t="shared" ref="R1078" si="1376">E1078</f>
        <v/>
      </c>
      <c r="S1078" s="185" t="str">
        <f t="shared" ref="S1078" si="1377">E1079</f>
        <v/>
      </c>
      <c r="T1078" s="185" t="str">
        <f t="shared" ref="T1078" si="1378">E1080</f>
        <v/>
      </c>
      <c r="U1078" s="185" t="str">
        <f t="shared" ref="U1078" si="1379">E1081</f>
        <v/>
      </c>
      <c r="V1078" s="185" t="str">
        <f t="shared" ref="V1078" si="1380">E1082</f>
        <v/>
      </c>
      <c r="W1078" s="185" t="str">
        <f t="shared" ref="W1078" si="1381">E1083</f>
        <v/>
      </c>
      <c r="X1078" s="185" t="str">
        <f t="shared" ref="X1078" si="1382">E1084</f>
        <v/>
      </c>
      <c r="AD1078" s="244"/>
      <c r="AE1078" s="355" t="str">
        <f>IF(OR(AM1078="",AM1078=0,AJ1078="",AG1078=""),"",
(IF(AND(AF1076=$P$4,AM1078&lt;=$R$4),$V$4,0)+IF(AND(AF1076=$P$5,AM1078&lt;=$R$5),$V$5,0)+IF(AND(AF1076=$P$6,AM1078&lt;=$R$6),$V$6,0)+IF(AND(AF1076=$P$7,AM1078&lt;=$R$7),$V$7,0))
)</f>
        <v/>
      </c>
      <c r="AF1078" s="153" t="s">
        <v>302</v>
      </c>
      <c r="AG1078" s="598"/>
      <c r="AH1078" s="599"/>
      <c r="AI1078" s="600"/>
      <c r="AJ1078" s="598"/>
      <c r="AK1078" s="599"/>
      <c r="AL1078" s="600"/>
      <c r="AM1078" s="384"/>
      <c r="AN1078" s="256"/>
      <c r="AO1078" s="388"/>
      <c r="AP1078" s="185">
        <f t="shared" ref="AP1078" si="1383">IF(AF1076="",0,1)</f>
        <v>0</v>
      </c>
      <c r="AR1078" s="185" t="str">
        <f t="shared" ref="AR1078" si="1384">AE1078</f>
        <v/>
      </c>
      <c r="AS1078" s="185" t="str">
        <f t="shared" ref="AS1078" si="1385">AE1079</f>
        <v/>
      </c>
      <c r="AT1078" s="185" t="str">
        <f t="shared" ref="AT1078" si="1386">AE1080</f>
        <v/>
      </c>
      <c r="AU1078" s="185" t="str">
        <f t="shared" ref="AU1078" si="1387">AE1081</f>
        <v/>
      </c>
      <c r="AV1078" s="185" t="str">
        <f t="shared" ref="AV1078" si="1388">AE1082</f>
        <v/>
      </c>
      <c r="AW1078" s="185" t="str">
        <f t="shared" ref="AW1078" si="1389">AE1083</f>
        <v/>
      </c>
      <c r="AX1078" s="185" t="str">
        <f t="shared" ref="AX1078" si="1390">AE1084</f>
        <v/>
      </c>
    </row>
    <row r="1079" spans="4:50" x14ac:dyDescent="0.3">
      <c r="D1079" s="244"/>
      <c r="E1079" s="341" t="str">
        <f>IF(OR(M1079="",M1079=0,J1079="",G1079=""),"",
(IF(AND(F1076=$P$4,M1079&lt;=$R$4),$V$4,0)+IF(AND(F1076=$P$5,M1079&lt;=$R$5),$V$5,0)+IF(AND(F1076=$P$6,M1079&lt;=$R$6),$V$6,0)+IF(AND(F1076=$P$7,M1079&lt;=$R$7),$V$7,0))
)</f>
        <v/>
      </c>
      <c r="F1079" s="153" t="s">
        <v>303</v>
      </c>
      <c r="G1079" s="616"/>
      <c r="H1079" s="617"/>
      <c r="I1079" s="618"/>
      <c r="J1079" s="616"/>
      <c r="K1079" s="617"/>
      <c r="L1079" s="618"/>
      <c r="M1079" s="255"/>
      <c r="N1079" s="256"/>
      <c r="O1079" s="388"/>
      <c r="AD1079" s="244"/>
      <c r="AE1079" s="341" t="str">
        <f>IF(OR(AM1079="",AM1079=0,AJ1079="",AG1079=""),"",
(IF(AND(AF1076=$P$4,AM1079&lt;=$R$4),$V$4,0)+IF(AND(AF1076=$P$5,AM1079&lt;=$R$5),$V$5,0)+IF(AND(AF1076=$P$6,AM1079&lt;=$R$6),$V$6,0)+IF(AND(AF1076=$P$7,AM1079&lt;=$R$7),$V$7,0))
)</f>
        <v/>
      </c>
      <c r="AF1079" s="153" t="s">
        <v>303</v>
      </c>
      <c r="AG1079" s="598"/>
      <c r="AH1079" s="599"/>
      <c r="AI1079" s="600"/>
      <c r="AJ1079" s="598"/>
      <c r="AK1079" s="599"/>
      <c r="AL1079" s="600"/>
      <c r="AM1079" s="384"/>
      <c r="AN1079" s="256"/>
      <c r="AO1079" s="388"/>
    </row>
    <row r="1080" spans="4:50" x14ac:dyDescent="0.3">
      <c r="D1080" s="244"/>
      <c r="E1080" s="341" t="str">
        <f>IF(OR(M1080="",M1080=0,J1080="",G1080=""),"",
(IF(AND(F1076=$P$4,M1080&lt;=$R$4),$V$4,0)+IF(AND(F1076=$P$5,M1080&lt;=$R$5),$V$5,0)+IF(AND(F1076=$P$6,M1080&lt;=$R$6),$V$6,0)+IF(AND(F1076=$P$7,M1080&lt;=$R$7),$V$7,0))
)</f>
        <v/>
      </c>
      <c r="F1080" s="153" t="s">
        <v>304</v>
      </c>
      <c r="G1080" s="616"/>
      <c r="H1080" s="617"/>
      <c r="I1080" s="618"/>
      <c r="J1080" s="616"/>
      <c r="K1080" s="617"/>
      <c r="L1080" s="618"/>
      <c r="M1080" s="255"/>
      <c r="N1080" s="256"/>
      <c r="O1080" s="388"/>
      <c r="AD1080" s="244"/>
      <c r="AE1080" s="341" t="str">
        <f>IF(OR(AM1080="",AM1080=0,AJ1080="",AG1080=""),"",
(IF(AND(AF1076=$P$4,AM1080&lt;=$R$4),$V$4,0)+IF(AND(AF1076=$P$5,AM1080&lt;=$R$5),$V$5,0)+IF(AND(AF1076=$P$6,AM1080&lt;=$R$6),$V$6,0)+IF(AND(AF1076=$P$7,AM1080&lt;=$R$7),$V$7,0))
)</f>
        <v/>
      </c>
      <c r="AF1080" s="153" t="s">
        <v>304</v>
      </c>
      <c r="AG1080" s="598"/>
      <c r="AH1080" s="599"/>
      <c r="AI1080" s="600"/>
      <c r="AJ1080" s="598"/>
      <c r="AK1080" s="599"/>
      <c r="AL1080" s="600"/>
      <c r="AM1080" s="384"/>
      <c r="AN1080" s="256"/>
      <c r="AO1080" s="388"/>
    </row>
    <row r="1081" spans="4:50" x14ac:dyDescent="0.3">
      <c r="D1081" s="244"/>
      <c r="E1081" s="341" t="str">
        <f>IF(OR(M1081="",M1081=0,J1081="",G1081=""),"",
(IF(AND(F1076=$P$4,M1081&lt;=$R$4),$V$4,0)+IF(AND(F1076=$P$5,M1081&lt;=$R$5),$V$5,0)+IF(AND(F1076=$P$6,M1081&lt;=$R$6),$V$6,0)+IF(AND(F1076=$P$7,M1081&lt;=$R$7),$V$7,0))
)</f>
        <v/>
      </c>
      <c r="F1081" s="153" t="s">
        <v>305</v>
      </c>
      <c r="G1081" s="616"/>
      <c r="H1081" s="617"/>
      <c r="I1081" s="618"/>
      <c r="J1081" s="616"/>
      <c r="K1081" s="617"/>
      <c r="L1081" s="618"/>
      <c r="M1081" s="255"/>
      <c r="N1081" s="256"/>
      <c r="O1081" s="388"/>
      <c r="AD1081" s="244"/>
      <c r="AE1081" s="341" t="str">
        <f>IF(OR(AM1081="",AM1081=0,AJ1081="",AG1081=""),"",
(IF(AND(AF1076=$P$4,AM1081&lt;=$R$4),$V$4,0)+IF(AND(AF1076=$P$5,AM1081&lt;=$R$5),$V$5,0)+IF(AND(AF1076=$P$6,AM1081&lt;=$R$6),$V$6,0)+IF(AND(AF1076=$P$7,AM1081&lt;=$R$7),$V$7,0))
)</f>
        <v/>
      </c>
      <c r="AF1081" s="153" t="s">
        <v>305</v>
      </c>
      <c r="AG1081" s="598"/>
      <c r="AH1081" s="599"/>
      <c r="AI1081" s="600"/>
      <c r="AJ1081" s="598"/>
      <c r="AK1081" s="599"/>
      <c r="AL1081" s="600"/>
      <c r="AM1081" s="384"/>
      <c r="AN1081" s="256"/>
      <c r="AO1081" s="388"/>
    </row>
    <row r="1082" spans="4:50" x14ac:dyDescent="0.3">
      <c r="D1082" s="244"/>
      <c r="E1082" s="341" t="str">
        <f>IF(OR(M1082="",M1082=0,J1082="",G1082=""),"",
(IF(AND(F1076=$P$4,M1082&lt;=$R$4),$V$4,0)+IF(AND(F1076=$P$5,M1082&lt;=$R$5),$V$5,0)+IF(AND(F1076=$P$6,M1082&lt;=$R$6),$V$6,0)+IF(AND(F1076=$P$7,M1082&lt;=$R$7),$V$7,0))
)</f>
        <v/>
      </c>
      <c r="F1082" s="153" t="s">
        <v>306</v>
      </c>
      <c r="G1082" s="616"/>
      <c r="H1082" s="617"/>
      <c r="I1082" s="618"/>
      <c r="J1082" s="616"/>
      <c r="K1082" s="617"/>
      <c r="L1082" s="618"/>
      <c r="M1082" s="255"/>
      <c r="N1082" s="256"/>
      <c r="O1082" s="388"/>
      <c r="AD1082" s="244"/>
      <c r="AE1082" s="341" t="str">
        <f>IF(OR(AM1082="",AM1082=0,AJ1082="",AG1082=""),"",
(IF(AND(AF1076=$P$4,AM1082&lt;=$R$4),$V$4,0)+IF(AND(AF1076=$P$5,AM1082&lt;=$R$5),$V$5,0)+IF(AND(AF1076=$P$6,AM1082&lt;=$R$6),$V$6,0)+IF(AND(AF1076=$P$7,AM1082&lt;=$R$7),$V$7,0))
)</f>
        <v/>
      </c>
      <c r="AF1082" s="153" t="s">
        <v>306</v>
      </c>
      <c r="AG1082" s="598"/>
      <c r="AH1082" s="599"/>
      <c r="AI1082" s="600"/>
      <c r="AJ1082" s="598"/>
      <c r="AK1082" s="599"/>
      <c r="AL1082" s="600"/>
      <c r="AM1082" s="384"/>
      <c r="AN1082" s="256"/>
      <c r="AO1082" s="388"/>
    </row>
    <row r="1083" spans="4:50" x14ac:dyDescent="0.3">
      <c r="D1083" s="244"/>
      <c r="E1083" s="341" t="str">
        <f>IF(OR(M1083="",M1083=0,J1083="",G1083=""),"",
(IF(AND(F1076=$P$4,M1083&lt;=$R$4),$V$4,0)+IF(AND(F1076=$P$5,M1083&lt;=$R$5),$V$5,0)+IF(AND(F1076=$P$6,M1083&lt;=$R$6),$V$6,0)+IF(AND(F1076=$P$7,M1083&lt;=$R$7),$V$7,0))
)</f>
        <v/>
      </c>
      <c r="F1083" s="153" t="s">
        <v>307</v>
      </c>
      <c r="G1083" s="616"/>
      <c r="H1083" s="617"/>
      <c r="I1083" s="618"/>
      <c r="J1083" s="616"/>
      <c r="K1083" s="617"/>
      <c r="L1083" s="618"/>
      <c r="M1083" s="255"/>
      <c r="N1083" s="256"/>
      <c r="O1083" s="388"/>
      <c r="AD1083" s="244"/>
      <c r="AE1083" s="341" t="str">
        <f>IF(OR(AM1083="",AM1083=0,AJ1083="",AG1083=""),"",
(IF(AND(AF1076=$P$4,AM1083&lt;=$R$4),$V$4,0)+IF(AND(AF1076=$P$5,AM1083&lt;=$R$5),$V$5,0)+IF(AND(AF1076=$P$6,AM1083&lt;=$R$6),$V$6,0)+IF(AND(AF1076=$P$7,AM1083&lt;=$R$7),$V$7,0))
)</f>
        <v/>
      </c>
      <c r="AF1083" s="153" t="s">
        <v>307</v>
      </c>
      <c r="AG1083" s="598"/>
      <c r="AH1083" s="599"/>
      <c r="AI1083" s="600"/>
      <c r="AJ1083" s="598"/>
      <c r="AK1083" s="599"/>
      <c r="AL1083" s="600"/>
      <c r="AM1083" s="384"/>
      <c r="AN1083" s="256"/>
      <c r="AO1083" s="388"/>
    </row>
    <row r="1084" spans="4:50" x14ac:dyDescent="0.3">
      <c r="D1084" s="244"/>
      <c r="E1084" s="341" t="str">
        <f>IF(OR(M1084="",M1084=0,J1084="",G1084=""),"",
(IF(AND(F1076=$P$4,M1084&lt;=$R$4),$V$4,0)+IF(AND(F1076=$P$5,M1084&lt;=$R$5),$V$5,0)+IF(AND(F1076=$P$6,M1084&lt;=$R$6),$V$6,0)+IF(AND(F1076=$P$7,M1084&lt;=$R$7),$V$7,0))
)</f>
        <v/>
      </c>
      <c r="F1084" s="153" t="s">
        <v>308</v>
      </c>
      <c r="G1084" s="616"/>
      <c r="H1084" s="617"/>
      <c r="I1084" s="618"/>
      <c r="J1084" s="616"/>
      <c r="K1084" s="617"/>
      <c r="L1084" s="618"/>
      <c r="M1084" s="255"/>
      <c r="N1084" s="256"/>
      <c r="O1084" s="388"/>
      <c r="AD1084" s="244"/>
      <c r="AE1084" s="341" t="str">
        <f>IF(OR(AM1084="",AM1084=0,AJ1084="",AG1084=""),"",
(IF(AND(AF1076=$P$4,AM1084&lt;=$R$4),$V$4,0)+IF(AND(AF1076=$P$5,AM1084&lt;=$R$5),$V$5,0)+IF(AND(AF1076=$P$6,AM1084&lt;=$R$6),$V$6,0)+IF(AND(AF1076=$P$7,AM1084&lt;=$R$7),$V$7,0))
)</f>
        <v/>
      </c>
      <c r="AF1084" s="153" t="s">
        <v>308</v>
      </c>
      <c r="AG1084" s="598"/>
      <c r="AH1084" s="599"/>
      <c r="AI1084" s="600"/>
      <c r="AJ1084" s="598"/>
      <c r="AK1084" s="599"/>
      <c r="AL1084" s="600"/>
      <c r="AM1084" s="384"/>
      <c r="AN1084" s="256"/>
      <c r="AO1084" s="388"/>
    </row>
    <row r="1085" spans="4:50" ht="16.2" thickBot="1" x14ac:dyDescent="0.35">
      <c r="D1085" s="203"/>
      <c r="E1085" s="3"/>
      <c r="F1085" s="3"/>
      <c r="G1085" s="3"/>
      <c r="H1085" s="3"/>
      <c r="I1085" s="3"/>
      <c r="J1085" s="3"/>
      <c r="K1085" s="3"/>
      <c r="L1085" s="3"/>
      <c r="M1085" s="3"/>
      <c r="N1085" s="204"/>
      <c r="P1085" s="2"/>
      <c r="AD1085" s="203"/>
      <c r="AE1085" s="3"/>
      <c r="AF1085" s="3"/>
      <c r="AG1085" s="3"/>
      <c r="AH1085" s="3"/>
      <c r="AI1085" s="3"/>
      <c r="AJ1085" s="3"/>
      <c r="AK1085" s="3"/>
      <c r="AL1085" s="3"/>
      <c r="AM1085" s="3"/>
      <c r="AN1085" s="204"/>
      <c r="AP1085" s="2"/>
    </row>
    <row r="1086" spans="4:50" x14ac:dyDescent="0.3">
      <c r="D1086" s="601" t="str">
        <f>IF(
OR(
OR(F1088=$P$4,F1088=$P$5,F1088=$P$6,F1088=$P$7),AND(G1090="",G1091="",G1092="",G1093="",G1094="",G1095="",G1096="",J1090="",J1091="",J1092="",J1093="",J1094="",J1095="",J1096="",M1090="",M1091="",M1092="",M1093="",M1094="",M1095="",M1096="",K1087="",K1088="")
),
"",
"A Set-Aside must be selected."
)</f>
        <v/>
      </c>
      <c r="E1086" s="602"/>
      <c r="F1086" s="602"/>
      <c r="G1086" s="602"/>
      <c r="H1086" s="602"/>
      <c r="I1086" s="602"/>
      <c r="J1086" s="602"/>
      <c r="K1086" s="602"/>
      <c r="L1086" s="602"/>
      <c r="M1086" s="602"/>
      <c r="N1086" s="603"/>
      <c r="O1086" s="2"/>
      <c r="AD1086" s="601" t="str">
        <f>IF(
OR(
OR(AF1088=$P$4,AF1088=$P$5,AF1088=$P$6,AF1088=$P$7),AND(AG1090="",AG1091="",AG1092="",AG1093="",AG1094="",AG1095="",AG1096="",AJ1090="",AJ1091="",AJ1092="",AJ1093="",AJ1094="",AJ1095="",AJ1096="",AM1090="",AM1091="",AM1092="",AM1093="",AM1094="",AM1095="",AM1096="",AK1087="",AK1088="")
),
"",
"A Set-Aside must be selected."
)</f>
        <v/>
      </c>
      <c r="AE1086" s="602"/>
      <c r="AF1086" s="602"/>
      <c r="AG1086" s="602"/>
      <c r="AH1086" s="602"/>
      <c r="AI1086" s="602"/>
      <c r="AJ1086" s="602"/>
      <c r="AK1086" s="602"/>
      <c r="AL1086" s="602"/>
      <c r="AM1086" s="602"/>
      <c r="AN1086" s="603"/>
      <c r="AO1086" s="2"/>
    </row>
    <row r="1087" spans="4:50" ht="15.75" customHeight="1" x14ac:dyDescent="0.3">
      <c r="D1087" s="199"/>
      <c r="E1087" s="9" t="s">
        <v>30</v>
      </c>
      <c r="F1087" s="86">
        <f>F1075+1</f>
        <v>88</v>
      </c>
      <c r="G1087" s="9" t="s">
        <v>175</v>
      </c>
      <c r="H1087" s="9"/>
      <c r="I1087" s="9"/>
      <c r="J1087" s="168" t="s">
        <v>111</v>
      </c>
      <c r="K1087" s="148"/>
      <c r="N1087" s="200"/>
      <c r="R1087" s="596" t="s">
        <v>302</v>
      </c>
      <c r="S1087" s="596" t="s">
        <v>303</v>
      </c>
      <c r="T1087" s="596" t="s">
        <v>304</v>
      </c>
      <c r="U1087" s="596" t="s">
        <v>305</v>
      </c>
      <c r="V1087" s="596" t="s">
        <v>306</v>
      </c>
      <c r="W1087" s="596" t="s">
        <v>307</v>
      </c>
      <c r="X1087" s="596" t="s">
        <v>308</v>
      </c>
      <c r="AD1087" s="199"/>
      <c r="AE1087" s="9" t="s">
        <v>30</v>
      </c>
      <c r="AF1087" s="86">
        <f>AF1075+1</f>
        <v>88</v>
      </c>
      <c r="AG1087" s="9" t="s">
        <v>175</v>
      </c>
      <c r="AH1087" s="9"/>
      <c r="AI1087" s="9"/>
      <c r="AJ1087" s="168" t="s">
        <v>111</v>
      </c>
      <c r="AK1087" s="382"/>
      <c r="AN1087" s="200"/>
      <c r="AR1087" s="596" t="s">
        <v>302</v>
      </c>
      <c r="AS1087" s="596" t="s">
        <v>303</v>
      </c>
      <c r="AT1087" s="596" t="s">
        <v>304</v>
      </c>
      <c r="AU1087" s="596" t="s">
        <v>305</v>
      </c>
      <c r="AV1087" s="596" t="s">
        <v>306</v>
      </c>
      <c r="AW1087" s="596" t="s">
        <v>307</v>
      </c>
      <c r="AX1087" s="596" t="s">
        <v>308</v>
      </c>
    </row>
    <row r="1088" spans="4:50" x14ac:dyDescent="0.3">
      <c r="D1088" s="604" t="s">
        <v>31</v>
      </c>
      <c r="E1088" s="594"/>
      <c r="F1088" s="151"/>
      <c r="G1088" s="86" t="str">
        <f>IF(F1088=$P$4,$Q$4,IF(F1088=$P$5,$Q$5,IF(F1088=$P$6,$Q$6,IF(F1088=$P$7,Q$7,IF(F1088=$P$8,"","")))))</f>
        <v/>
      </c>
      <c r="H1088" s="201"/>
      <c r="I1088" s="201"/>
      <c r="J1088" s="168" t="s">
        <v>112</v>
      </c>
      <c r="K1088" s="148"/>
      <c r="N1088" s="200"/>
      <c r="R1088" s="596"/>
      <c r="S1088" s="596"/>
      <c r="T1088" s="596"/>
      <c r="U1088" s="596"/>
      <c r="V1088" s="596"/>
      <c r="W1088" s="596"/>
      <c r="X1088" s="596"/>
      <c r="AD1088" s="604" t="s">
        <v>31</v>
      </c>
      <c r="AE1088" s="594"/>
      <c r="AF1088" s="383"/>
      <c r="AG1088" s="86" t="str">
        <f>IF(AF1088=$P$4,$Q$4,IF(AF1088=$P$5,$Q$5,IF(AF1088=$P$6,$Q$6,IF(AF1088=$P$7,AQ$7,IF(AF1088=$P$8,"","")))))</f>
        <v/>
      </c>
      <c r="AH1088" s="201"/>
      <c r="AI1088" s="201"/>
      <c r="AJ1088" s="168" t="s">
        <v>112</v>
      </c>
      <c r="AK1088" s="382"/>
      <c r="AN1088" s="200"/>
      <c r="AR1088" s="596"/>
      <c r="AS1088" s="596"/>
      <c r="AT1088" s="596"/>
      <c r="AU1088" s="596"/>
      <c r="AV1088" s="596"/>
      <c r="AW1088" s="596"/>
      <c r="AX1088" s="596"/>
    </row>
    <row r="1089" spans="4:50" x14ac:dyDescent="0.3">
      <c r="D1089" s="244"/>
      <c r="E1089" s="230" t="s">
        <v>52</v>
      </c>
      <c r="F1089" s="9" t="s">
        <v>32</v>
      </c>
      <c r="G1089" s="9" t="s">
        <v>33</v>
      </c>
      <c r="H1089" s="9"/>
      <c r="I1089" s="9"/>
      <c r="J1089" s="9" t="s">
        <v>34</v>
      </c>
      <c r="K1089" s="9"/>
      <c r="L1089" s="9"/>
      <c r="M1089" s="257" t="s">
        <v>35</v>
      </c>
      <c r="N1089" s="202"/>
      <c r="O1089" s="9"/>
      <c r="P1089" s="198" t="s">
        <v>22</v>
      </c>
      <c r="Q1089" s="198"/>
      <c r="R1089" s="596"/>
      <c r="S1089" s="596"/>
      <c r="T1089" s="596"/>
      <c r="U1089" s="596"/>
      <c r="V1089" s="596"/>
      <c r="W1089" s="596"/>
      <c r="X1089" s="596"/>
      <c r="AD1089" s="244"/>
      <c r="AE1089" s="230" t="s">
        <v>52</v>
      </c>
      <c r="AF1089" s="9" t="s">
        <v>32</v>
      </c>
      <c r="AG1089" s="9" t="s">
        <v>33</v>
      </c>
      <c r="AH1089" s="9"/>
      <c r="AI1089" s="9"/>
      <c r="AJ1089" s="9" t="s">
        <v>34</v>
      </c>
      <c r="AK1089" s="9"/>
      <c r="AL1089" s="9"/>
      <c r="AM1089" s="257" t="s">
        <v>35</v>
      </c>
      <c r="AN1089" s="202"/>
      <c r="AO1089" s="9"/>
      <c r="AP1089" s="198" t="s">
        <v>22</v>
      </c>
      <c r="AQ1089" s="198"/>
      <c r="AR1089" s="596"/>
      <c r="AS1089" s="596"/>
      <c r="AT1089" s="596"/>
      <c r="AU1089" s="596"/>
      <c r="AV1089" s="596"/>
      <c r="AW1089" s="596"/>
      <c r="AX1089" s="596"/>
    </row>
    <row r="1090" spans="4:50" x14ac:dyDescent="0.3">
      <c r="D1090" s="244"/>
      <c r="E1090" s="355" t="str">
        <f>IF(OR(M1090="",M1090=0,J1090="",G1090=""),"",
(IF(AND(F1088=$P$4,M1090&lt;=$R$4),$V$4,0)+IF(AND(F1088=$P$5,M1090&lt;=$R$5),$V$5,0)+IF(AND(F1088=$P$6,M1090&lt;=$R$6),$V$6,0)+IF(AND(F1088=$P$7,M1090&lt;=$R$7),$V$7,0))
)</f>
        <v/>
      </c>
      <c r="F1090" s="153" t="s">
        <v>302</v>
      </c>
      <c r="G1090" s="616"/>
      <c r="H1090" s="617"/>
      <c r="I1090" s="618"/>
      <c r="J1090" s="616"/>
      <c r="K1090" s="617"/>
      <c r="L1090" s="618"/>
      <c r="M1090" s="255"/>
      <c r="N1090" s="256"/>
      <c r="O1090" s="388"/>
      <c r="P1090" s="185">
        <f t="shared" ref="P1090" si="1391">IF(F1088="",0,1)</f>
        <v>0</v>
      </c>
      <c r="R1090" s="185" t="str">
        <f t="shared" ref="R1090" si="1392">E1090</f>
        <v/>
      </c>
      <c r="S1090" s="185" t="str">
        <f t="shared" ref="S1090" si="1393">E1091</f>
        <v/>
      </c>
      <c r="T1090" s="185" t="str">
        <f t="shared" ref="T1090" si="1394">E1092</f>
        <v/>
      </c>
      <c r="U1090" s="185" t="str">
        <f t="shared" ref="U1090" si="1395">E1093</f>
        <v/>
      </c>
      <c r="V1090" s="185" t="str">
        <f t="shared" ref="V1090" si="1396">E1094</f>
        <v/>
      </c>
      <c r="W1090" s="185" t="str">
        <f t="shared" ref="W1090" si="1397">E1095</f>
        <v/>
      </c>
      <c r="X1090" s="185" t="str">
        <f t="shared" ref="X1090" si="1398">E1096</f>
        <v/>
      </c>
      <c r="AD1090" s="244"/>
      <c r="AE1090" s="355" t="str">
        <f>IF(OR(AM1090="",AM1090=0,AJ1090="",AG1090=""),"",
(IF(AND(AF1088=$P$4,AM1090&lt;=$R$4),$V$4,0)+IF(AND(AF1088=$P$5,AM1090&lt;=$R$5),$V$5,0)+IF(AND(AF1088=$P$6,AM1090&lt;=$R$6),$V$6,0)+IF(AND(AF1088=$P$7,AM1090&lt;=$R$7),$V$7,0))
)</f>
        <v/>
      </c>
      <c r="AF1090" s="153" t="s">
        <v>302</v>
      </c>
      <c r="AG1090" s="598"/>
      <c r="AH1090" s="599"/>
      <c r="AI1090" s="600"/>
      <c r="AJ1090" s="598"/>
      <c r="AK1090" s="599"/>
      <c r="AL1090" s="600"/>
      <c r="AM1090" s="384"/>
      <c r="AN1090" s="256"/>
      <c r="AO1090" s="388"/>
      <c r="AP1090" s="185">
        <f t="shared" ref="AP1090" si="1399">IF(AF1088="",0,1)</f>
        <v>0</v>
      </c>
      <c r="AR1090" s="185" t="str">
        <f t="shared" ref="AR1090" si="1400">AE1090</f>
        <v/>
      </c>
      <c r="AS1090" s="185" t="str">
        <f t="shared" ref="AS1090" si="1401">AE1091</f>
        <v/>
      </c>
      <c r="AT1090" s="185" t="str">
        <f t="shared" ref="AT1090" si="1402">AE1092</f>
        <v/>
      </c>
      <c r="AU1090" s="185" t="str">
        <f t="shared" ref="AU1090" si="1403">AE1093</f>
        <v/>
      </c>
      <c r="AV1090" s="185" t="str">
        <f t="shared" ref="AV1090" si="1404">AE1094</f>
        <v/>
      </c>
      <c r="AW1090" s="185" t="str">
        <f t="shared" ref="AW1090" si="1405">AE1095</f>
        <v/>
      </c>
      <c r="AX1090" s="185" t="str">
        <f t="shared" ref="AX1090" si="1406">AE1096</f>
        <v/>
      </c>
    </row>
    <row r="1091" spans="4:50" x14ac:dyDescent="0.3">
      <c r="D1091" s="244"/>
      <c r="E1091" s="341" t="str">
        <f>IF(OR(M1091="",M1091=0,J1091="",G1091=""),"",
(IF(AND(F1088=$P$4,M1091&lt;=$R$4),$V$4,0)+IF(AND(F1088=$P$5,M1091&lt;=$R$5),$V$5,0)+IF(AND(F1088=$P$6,M1091&lt;=$R$6),$V$6,0)+IF(AND(F1088=$P$7,M1091&lt;=$R$7),$V$7,0))
)</f>
        <v/>
      </c>
      <c r="F1091" s="153" t="s">
        <v>303</v>
      </c>
      <c r="G1091" s="616"/>
      <c r="H1091" s="617"/>
      <c r="I1091" s="618"/>
      <c r="J1091" s="616"/>
      <c r="K1091" s="617"/>
      <c r="L1091" s="618"/>
      <c r="M1091" s="255"/>
      <c r="N1091" s="256"/>
      <c r="O1091" s="388"/>
      <c r="AD1091" s="244"/>
      <c r="AE1091" s="341" t="str">
        <f>IF(OR(AM1091="",AM1091=0,AJ1091="",AG1091=""),"",
(IF(AND(AF1088=$P$4,AM1091&lt;=$R$4),$V$4,0)+IF(AND(AF1088=$P$5,AM1091&lt;=$R$5),$V$5,0)+IF(AND(AF1088=$P$6,AM1091&lt;=$R$6),$V$6,0)+IF(AND(AF1088=$P$7,AM1091&lt;=$R$7),$V$7,0))
)</f>
        <v/>
      </c>
      <c r="AF1091" s="153" t="s">
        <v>303</v>
      </c>
      <c r="AG1091" s="598"/>
      <c r="AH1091" s="599"/>
      <c r="AI1091" s="600"/>
      <c r="AJ1091" s="598"/>
      <c r="AK1091" s="599"/>
      <c r="AL1091" s="600"/>
      <c r="AM1091" s="384"/>
      <c r="AN1091" s="256"/>
      <c r="AO1091" s="388"/>
    </row>
    <row r="1092" spans="4:50" x14ac:dyDescent="0.3">
      <c r="D1092" s="244"/>
      <c r="E1092" s="341" t="str">
        <f>IF(OR(M1092="",M1092=0,J1092="",G1092=""),"",
(IF(AND(F1088=$P$4,M1092&lt;=$R$4),$V$4,0)+IF(AND(F1088=$P$5,M1092&lt;=$R$5),$V$5,0)+IF(AND(F1088=$P$6,M1092&lt;=$R$6),$V$6,0)+IF(AND(F1088=$P$7,M1092&lt;=$R$7),$V$7,0))
)</f>
        <v/>
      </c>
      <c r="F1092" s="153" t="s">
        <v>304</v>
      </c>
      <c r="G1092" s="616"/>
      <c r="H1092" s="617"/>
      <c r="I1092" s="618"/>
      <c r="J1092" s="616"/>
      <c r="K1092" s="617"/>
      <c r="L1092" s="618"/>
      <c r="M1092" s="255"/>
      <c r="N1092" s="256"/>
      <c r="O1092" s="388"/>
      <c r="AD1092" s="244"/>
      <c r="AE1092" s="341" t="str">
        <f>IF(OR(AM1092="",AM1092=0,AJ1092="",AG1092=""),"",
(IF(AND(AF1088=$P$4,AM1092&lt;=$R$4),$V$4,0)+IF(AND(AF1088=$P$5,AM1092&lt;=$R$5),$V$5,0)+IF(AND(AF1088=$P$6,AM1092&lt;=$R$6),$V$6,0)+IF(AND(AF1088=$P$7,AM1092&lt;=$R$7),$V$7,0))
)</f>
        <v/>
      </c>
      <c r="AF1092" s="153" t="s">
        <v>304</v>
      </c>
      <c r="AG1092" s="598"/>
      <c r="AH1092" s="599"/>
      <c r="AI1092" s="600"/>
      <c r="AJ1092" s="598"/>
      <c r="AK1092" s="599"/>
      <c r="AL1092" s="600"/>
      <c r="AM1092" s="384"/>
      <c r="AN1092" s="256"/>
      <c r="AO1092" s="388"/>
    </row>
    <row r="1093" spans="4:50" x14ac:dyDescent="0.3">
      <c r="D1093" s="244"/>
      <c r="E1093" s="341" t="str">
        <f>IF(OR(M1093="",M1093=0,J1093="",G1093=""),"",
(IF(AND(F1088=$P$4,M1093&lt;=$R$4),$V$4,0)+IF(AND(F1088=$P$5,M1093&lt;=$R$5),$V$5,0)+IF(AND(F1088=$P$6,M1093&lt;=$R$6),$V$6,0)+IF(AND(F1088=$P$7,M1093&lt;=$R$7),$V$7,0))
)</f>
        <v/>
      </c>
      <c r="F1093" s="153" t="s">
        <v>305</v>
      </c>
      <c r="G1093" s="616"/>
      <c r="H1093" s="617"/>
      <c r="I1093" s="618"/>
      <c r="J1093" s="616"/>
      <c r="K1093" s="617"/>
      <c r="L1093" s="618"/>
      <c r="M1093" s="255"/>
      <c r="N1093" s="256"/>
      <c r="O1093" s="388"/>
      <c r="AD1093" s="244"/>
      <c r="AE1093" s="341" t="str">
        <f>IF(OR(AM1093="",AM1093=0,AJ1093="",AG1093=""),"",
(IF(AND(AF1088=$P$4,AM1093&lt;=$R$4),$V$4,0)+IF(AND(AF1088=$P$5,AM1093&lt;=$R$5),$V$5,0)+IF(AND(AF1088=$P$6,AM1093&lt;=$R$6),$V$6,0)+IF(AND(AF1088=$P$7,AM1093&lt;=$R$7),$V$7,0))
)</f>
        <v/>
      </c>
      <c r="AF1093" s="153" t="s">
        <v>305</v>
      </c>
      <c r="AG1093" s="598"/>
      <c r="AH1093" s="599"/>
      <c r="AI1093" s="600"/>
      <c r="AJ1093" s="598"/>
      <c r="AK1093" s="599"/>
      <c r="AL1093" s="600"/>
      <c r="AM1093" s="384"/>
      <c r="AN1093" s="256"/>
      <c r="AO1093" s="388"/>
    </row>
    <row r="1094" spans="4:50" x14ac:dyDescent="0.3">
      <c r="D1094" s="244"/>
      <c r="E1094" s="341" t="str">
        <f>IF(OR(M1094="",M1094=0,J1094="",G1094=""),"",
(IF(AND(F1088=$P$4,M1094&lt;=$R$4),$V$4,0)+IF(AND(F1088=$P$5,M1094&lt;=$R$5),$V$5,0)+IF(AND(F1088=$P$6,M1094&lt;=$R$6),$V$6,0)+IF(AND(F1088=$P$7,M1094&lt;=$R$7),$V$7,0))
)</f>
        <v/>
      </c>
      <c r="F1094" s="153" t="s">
        <v>306</v>
      </c>
      <c r="G1094" s="616"/>
      <c r="H1094" s="617"/>
      <c r="I1094" s="618"/>
      <c r="J1094" s="616"/>
      <c r="K1094" s="617"/>
      <c r="L1094" s="618"/>
      <c r="M1094" s="255"/>
      <c r="N1094" s="256"/>
      <c r="O1094" s="388"/>
      <c r="AD1094" s="244"/>
      <c r="AE1094" s="341" t="str">
        <f>IF(OR(AM1094="",AM1094=0,AJ1094="",AG1094=""),"",
(IF(AND(AF1088=$P$4,AM1094&lt;=$R$4),$V$4,0)+IF(AND(AF1088=$P$5,AM1094&lt;=$R$5),$V$5,0)+IF(AND(AF1088=$P$6,AM1094&lt;=$R$6),$V$6,0)+IF(AND(AF1088=$P$7,AM1094&lt;=$R$7),$V$7,0))
)</f>
        <v/>
      </c>
      <c r="AF1094" s="153" t="s">
        <v>306</v>
      </c>
      <c r="AG1094" s="598"/>
      <c r="AH1094" s="599"/>
      <c r="AI1094" s="600"/>
      <c r="AJ1094" s="598"/>
      <c r="AK1094" s="599"/>
      <c r="AL1094" s="600"/>
      <c r="AM1094" s="384"/>
      <c r="AN1094" s="256"/>
      <c r="AO1094" s="388"/>
    </row>
    <row r="1095" spans="4:50" x14ac:dyDescent="0.3">
      <c r="D1095" s="244"/>
      <c r="E1095" s="341" t="str">
        <f>IF(OR(M1095="",M1095=0,J1095="",G1095=""),"",
(IF(AND(F1088=$P$4,M1095&lt;=$R$4),$V$4,0)+IF(AND(F1088=$P$5,M1095&lt;=$R$5),$V$5,0)+IF(AND(F1088=$P$6,M1095&lt;=$R$6),$V$6,0)+IF(AND(F1088=$P$7,M1095&lt;=$R$7),$V$7,0))
)</f>
        <v/>
      </c>
      <c r="F1095" s="153" t="s">
        <v>307</v>
      </c>
      <c r="G1095" s="616"/>
      <c r="H1095" s="617"/>
      <c r="I1095" s="618"/>
      <c r="J1095" s="616"/>
      <c r="K1095" s="617"/>
      <c r="L1095" s="618"/>
      <c r="M1095" s="255"/>
      <c r="N1095" s="256"/>
      <c r="O1095" s="388"/>
      <c r="AD1095" s="244"/>
      <c r="AE1095" s="341" t="str">
        <f>IF(OR(AM1095="",AM1095=0,AJ1095="",AG1095=""),"",
(IF(AND(AF1088=$P$4,AM1095&lt;=$R$4),$V$4,0)+IF(AND(AF1088=$P$5,AM1095&lt;=$R$5),$V$5,0)+IF(AND(AF1088=$P$6,AM1095&lt;=$R$6),$V$6,0)+IF(AND(AF1088=$P$7,AM1095&lt;=$R$7),$V$7,0))
)</f>
        <v/>
      </c>
      <c r="AF1095" s="153" t="s">
        <v>307</v>
      </c>
      <c r="AG1095" s="598"/>
      <c r="AH1095" s="599"/>
      <c r="AI1095" s="600"/>
      <c r="AJ1095" s="598"/>
      <c r="AK1095" s="599"/>
      <c r="AL1095" s="600"/>
      <c r="AM1095" s="384"/>
      <c r="AN1095" s="256"/>
      <c r="AO1095" s="388"/>
    </row>
    <row r="1096" spans="4:50" x14ac:dyDescent="0.3">
      <c r="D1096" s="244"/>
      <c r="E1096" s="341" t="str">
        <f>IF(OR(M1096="",M1096=0,J1096="",G1096=""),"",
(IF(AND(F1088=$P$4,M1096&lt;=$R$4),$V$4,0)+IF(AND(F1088=$P$5,M1096&lt;=$R$5),$V$5,0)+IF(AND(F1088=$P$6,M1096&lt;=$R$6),$V$6,0)+IF(AND(F1088=$P$7,M1096&lt;=$R$7),$V$7,0))
)</f>
        <v/>
      </c>
      <c r="F1096" s="153" t="s">
        <v>308</v>
      </c>
      <c r="G1096" s="616"/>
      <c r="H1096" s="617"/>
      <c r="I1096" s="618"/>
      <c r="J1096" s="616"/>
      <c r="K1096" s="617"/>
      <c r="L1096" s="618"/>
      <c r="M1096" s="255"/>
      <c r="N1096" s="256"/>
      <c r="O1096" s="388"/>
      <c r="AD1096" s="244"/>
      <c r="AE1096" s="341" t="str">
        <f>IF(OR(AM1096="",AM1096=0,AJ1096="",AG1096=""),"",
(IF(AND(AF1088=$P$4,AM1096&lt;=$R$4),$V$4,0)+IF(AND(AF1088=$P$5,AM1096&lt;=$R$5),$V$5,0)+IF(AND(AF1088=$P$6,AM1096&lt;=$R$6),$V$6,0)+IF(AND(AF1088=$P$7,AM1096&lt;=$R$7),$V$7,0))
)</f>
        <v/>
      </c>
      <c r="AF1096" s="153" t="s">
        <v>308</v>
      </c>
      <c r="AG1096" s="598"/>
      <c r="AH1096" s="599"/>
      <c r="AI1096" s="600"/>
      <c r="AJ1096" s="598"/>
      <c r="AK1096" s="599"/>
      <c r="AL1096" s="600"/>
      <c r="AM1096" s="384"/>
      <c r="AN1096" s="256"/>
      <c r="AO1096" s="388"/>
    </row>
    <row r="1097" spans="4:50" ht="16.2" thickBot="1" x14ac:dyDescent="0.35">
      <c r="D1097" s="203"/>
      <c r="E1097" s="3"/>
      <c r="F1097" s="3"/>
      <c r="G1097" s="3"/>
      <c r="H1097" s="3"/>
      <c r="I1097" s="3"/>
      <c r="J1097" s="3"/>
      <c r="K1097" s="3"/>
      <c r="L1097" s="3"/>
      <c r="M1097" s="3"/>
      <c r="N1097" s="204"/>
      <c r="P1097" s="2"/>
      <c r="AD1097" s="203"/>
      <c r="AE1097" s="3"/>
      <c r="AF1097" s="3"/>
      <c r="AG1097" s="3"/>
      <c r="AH1097" s="3"/>
      <c r="AI1097" s="3"/>
      <c r="AJ1097" s="3"/>
      <c r="AK1097" s="3"/>
      <c r="AL1097" s="3"/>
      <c r="AM1097" s="3"/>
      <c r="AN1097" s="204"/>
      <c r="AP1097" s="2"/>
    </row>
    <row r="1098" spans="4:50" x14ac:dyDescent="0.3">
      <c r="D1098" s="601" t="str">
        <f>IF(
OR(
OR(F1100=$P$4,F1100=$P$5,F1100=$P$6,F1100=$P$7),AND(G1102="",G1103="",G1104="",G1105="",G1106="",G1107="",G1108="",J1102="",J1103="",J1104="",J1105="",J1106="",J1107="",J1108="",M1102="",M1103="",M1104="",M1105="",M1106="",M1107="",M1108="",K1099="",K1100="")
),
"",
"A Set-Aside must be selected."
)</f>
        <v/>
      </c>
      <c r="E1098" s="602"/>
      <c r="F1098" s="602"/>
      <c r="G1098" s="602"/>
      <c r="H1098" s="602"/>
      <c r="I1098" s="602"/>
      <c r="J1098" s="602"/>
      <c r="K1098" s="602"/>
      <c r="L1098" s="602"/>
      <c r="M1098" s="602"/>
      <c r="N1098" s="603"/>
      <c r="O1098" s="2"/>
      <c r="AD1098" s="601" t="str">
        <f>IF(
OR(
OR(AF1100=$P$4,AF1100=$P$5,AF1100=$P$6,AF1100=$P$7),AND(AG1102="",AG1103="",AG1104="",AG1105="",AG1106="",AG1107="",AG1108="",AJ1102="",AJ1103="",AJ1104="",AJ1105="",AJ1106="",AJ1107="",AJ1108="",AM1102="",AM1103="",AM1104="",AM1105="",AM1106="",AM1107="",AM1108="",AK1099="",AK1100="")
),
"",
"A Set-Aside must be selected."
)</f>
        <v/>
      </c>
      <c r="AE1098" s="602"/>
      <c r="AF1098" s="602"/>
      <c r="AG1098" s="602"/>
      <c r="AH1098" s="602"/>
      <c r="AI1098" s="602"/>
      <c r="AJ1098" s="602"/>
      <c r="AK1098" s="602"/>
      <c r="AL1098" s="602"/>
      <c r="AM1098" s="602"/>
      <c r="AN1098" s="603"/>
      <c r="AO1098" s="2"/>
    </row>
    <row r="1099" spans="4:50" ht="15.75" customHeight="1" x14ac:dyDescent="0.3">
      <c r="D1099" s="199"/>
      <c r="E1099" s="9" t="s">
        <v>30</v>
      </c>
      <c r="F1099" s="86">
        <f>F1087+1</f>
        <v>89</v>
      </c>
      <c r="G1099" s="9" t="s">
        <v>175</v>
      </c>
      <c r="H1099" s="9"/>
      <c r="I1099" s="9"/>
      <c r="J1099" s="168" t="s">
        <v>111</v>
      </c>
      <c r="K1099" s="148"/>
      <c r="N1099" s="200"/>
      <c r="R1099" s="596" t="s">
        <v>302</v>
      </c>
      <c r="S1099" s="596" t="s">
        <v>303</v>
      </c>
      <c r="T1099" s="596" t="s">
        <v>304</v>
      </c>
      <c r="U1099" s="596" t="s">
        <v>305</v>
      </c>
      <c r="V1099" s="596" t="s">
        <v>306</v>
      </c>
      <c r="W1099" s="596" t="s">
        <v>307</v>
      </c>
      <c r="X1099" s="596" t="s">
        <v>308</v>
      </c>
      <c r="AD1099" s="199"/>
      <c r="AE1099" s="9" t="s">
        <v>30</v>
      </c>
      <c r="AF1099" s="86">
        <f>AF1087+1</f>
        <v>89</v>
      </c>
      <c r="AG1099" s="9" t="s">
        <v>175</v>
      </c>
      <c r="AH1099" s="9"/>
      <c r="AI1099" s="9"/>
      <c r="AJ1099" s="168" t="s">
        <v>111</v>
      </c>
      <c r="AK1099" s="382"/>
      <c r="AN1099" s="200"/>
      <c r="AR1099" s="596" t="s">
        <v>302</v>
      </c>
      <c r="AS1099" s="596" t="s">
        <v>303</v>
      </c>
      <c r="AT1099" s="596" t="s">
        <v>304</v>
      </c>
      <c r="AU1099" s="596" t="s">
        <v>305</v>
      </c>
      <c r="AV1099" s="596" t="s">
        <v>306</v>
      </c>
      <c r="AW1099" s="596" t="s">
        <v>307</v>
      </c>
      <c r="AX1099" s="596" t="s">
        <v>308</v>
      </c>
    </row>
    <row r="1100" spans="4:50" x14ac:dyDescent="0.3">
      <c r="D1100" s="604" t="s">
        <v>31</v>
      </c>
      <c r="E1100" s="594"/>
      <c r="F1100" s="151"/>
      <c r="G1100" s="86" t="str">
        <f>IF(F1100=$P$4,$Q$4,IF(F1100=$P$5,$Q$5,IF(F1100=$P$6,$Q$6,IF(F1100=$P$7,Q$7,IF(F1100=$P$8,"","")))))</f>
        <v/>
      </c>
      <c r="H1100" s="201"/>
      <c r="I1100" s="201"/>
      <c r="J1100" s="168" t="s">
        <v>112</v>
      </c>
      <c r="K1100" s="148"/>
      <c r="N1100" s="200"/>
      <c r="R1100" s="596"/>
      <c r="S1100" s="596"/>
      <c r="T1100" s="596"/>
      <c r="U1100" s="596"/>
      <c r="V1100" s="596"/>
      <c r="W1100" s="596"/>
      <c r="X1100" s="596"/>
      <c r="AD1100" s="604" t="s">
        <v>31</v>
      </c>
      <c r="AE1100" s="594"/>
      <c r="AF1100" s="383"/>
      <c r="AG1100" s="86" t="str">
        <f>IF(AF1100=$P$4,$Q$4,IF(AF1100=$P$5,$Q$5,IF(AF1100=$P$6,$Q$6,IF(AF1100=$P$7,AQ$7,IF(AF1100=$P$8,"","")))))</f>
        <v/>
      </c>
      <c r="AH1100" s="201"/>
      <c r="AI1100" s="201"/>
      <c r="AJ1100" s="168" t="s">
        <v>112</v>
      </c>
      <c r="AK1100" s="382"/>
      <c r="AN1100" s="200"/>
      <c r="AR1100" s="596"/>
      <c r="AS1100" s="596"/>
      <c r="AT1100" s="596"/>
      <c r="AU1100" s="596"/>
      <c r="AV1100" s="596"/>
      <c r="AW1100" s="596"/>
      <c r="AX1100" s="596"/>
    </row>
    <row r="1101" spans="4:50" x14ac:dyDescent="0.3">
      <c r="D1101" s="244"/>
      <c r="E1101" s="230" t="s">
        <v>52</v>
      </c>
      <c r="F1101" s="9" t="s">
        <v>32</v>
      </c>
      <c r="G1101" s="9" t="s">
        <v>33</v>
      </c>
      <c r="H1101" s="9"/>
      <c r="I1101" s="9"/>
      <c r="J1101" s="9" t="s">
        <v>34</v>
      </c>
      <c r="K1101" s="9"/>
      <c r="L1101" s="9"/>
      <c r="M1101" s="257" t="s">
        <v>35</v>
      </c>
      <c r="N1101" s="202"/>
      <c r="O1101" s="9"/>
      <c r="P1101" s="198" t="s">
        <v>22</v>
      </c>
      <c r="Q1101" s="198"/>
      <c r="R1101" s="596"/>
      <c r="S1101" s="596"/>
      <c r="T1101" s="596"/>
      <c r="U1101" s="596"/>
      <c r="V1101" s="596"/>
      <c r="W1101" s="596"/>
      <c r="X1101" s="596"/>
      <c r="AD1101" s="244"/>
      <c r="AE1101" s="230" t="s">
        <v>52</v>
      </c>
      <c r="AF1101" s="9" t="s">
        <v>32</v>
      </c>
      <c r="AG1101" s="9" t="s">
        <v>33</v>
      </c>
      <c r="AH1101" s="9"/>
      <c r="AI1101" s="9"/>
      <c r="AJ1101" s="9" t="s">
        <v>34</v>
      </c>
      <c r="AK1101" s="9"/>
      <c r="AL1101" s="9"/>
      <c r="AM1101" s="257" t="s">
        <v>35</v>
      </c>
      <c r="AN1101" s="202"/>
      <c r="AO1101" s="9"/>
      <c r="AP1101" s="198" t="s">
        <v>22</v>
      </c>
      <c r="AQ1101" s="198"/>
      <c r="AR1101" s="596"/>
      <c r="AS1101" s="596"/>
      <c r="AT1101" s="596"/>
      <c r="AU1101" s="596"/>
      <c r="AV1101" s="596"/>
      <c r="AW1101" s="596"/>
      <c r="AX1101" s="596"/>
    </row>
    <row r="1102" spans="4:50" x14ac:dyDescent="0.3">
      <c r="D1102" s="244"/>
      <c r="E1102" s="355" t="str">
        <f>IF(OR(M1102="",M1102=0,J1102="",G1102=""),"",
(IF(AND(F1100=$P$4,M1102&lt;=$R$4),$V$4,0)+IF(AND(F1100=$P$5,M1102&lt;=$R$5),$V$5,0)+IF(AND(F1100=$P$6,M1102&lt;=$R$6),$V$6,0)+IF(AND(F1100=$P$7,M1102&lt;=$R$7),$V$7,0))
)</f>
        <v/>
      </c>
      <c r="F1102" s="153" t="s">
        <v>302</v>
      </c>
      <c r="G1102" s="616"/>
      <c r="H1102" s="617"/>
      <c r="I1102" s="618"/>
      <c r="J1102" s="616"/>
      <c r="K1102" s="617"/>
      <c r="L1102" s="618"/>
      <c r="M1102" s="255"/>
      <c r="N1102" s="256"/>
      <c r="O1102" s="388"/>
      <c r="P1102" s="185">
        <f t="shared" ref="P1102" si="1407">IF(F1100="",0,1)</f>
        <v>0</v>
      </c>
      <c r="R1102" s="185" t="str">
        <f t="shared" ref="R1102" si="1408">E1102</f>
        <v/>
      </c>
      <c r="S1102" s="185" t="str">
        <f t="shared" ref="S1102" si="1409">E1103</f>
        <v/>
      </c>
      <c r="T1102" s="185" t="str">
        <f t="shared" ref="T1102" si="1410">E1104</f>
        <v/>
      </c>
      <c r="U1102" s="185" t="str">
        <f t="shared" ref="U1102" si="1411">E1105</f>
        <v/>
      </c>
      <c r="V1102" s="185" t="str">
        <f t="shared" ref="V1102" si="1412">E1106</f>
        <v/>
      </c>
      <c r="W1102" s="185" t="str">
        <f t="shared" ref="W1102" si="1413">E1107</f>
        <v/>
      </c>
      <c r="X1102" s="185" t="str">
        <f t="shared" ref="X1102" si="1414">E1108</f>
        <v/>
      </c>
      <c r="AD1102" s="244"/>
      <c r="AE1102" s="355" t="str">
        <f>IF(OR(AM1102="",AM1102=0,AJ1102="",AG1102=""),"",
(IF(AND(AF1100=$P$4,AM1102&lt;=$R$4),$V$4,0)+IF(AND(AF1100=$P$5,AM1102&lt;=$R$5),$V$5,0)+IF(AND(AF1100=$P$6,AM1102&lt;=$R$6),$V$6,0)+IF(AND(AF1100=$P$7,AM1102&lt;=$R$7),$V$7,0))
)</f>
        <v/>
      </c>
      <c r="AF1102" s="153" t="s">
        <v>302</v>
      </c>
      <c r="AG1102" s="598"/>
      <c r="AH1102" s="599"/>
      <c r="AI1102" s="600"/>
      <c r="AJ1102" s="598"/>
      <c r="AK1102" s="599"/>
      <c r="AL1102" s="600"/>
      <c r="AM1102" s="384"/>
      <c r="AN1102" s="256"/>
      <c r="AO1102" s="388"/>
      <c r="AP1102" s="185">
        <f t="shared" ref="AP1102" si="1415">IF(AF1100="",0,1)</f>
        <v>0</v>
      </c>
      <c r="AR1102" s="185" t="str">
        <f t="shared" ref="AR1102" si="1416">AE1102</f>
        <v/>
      </c>
      <c r="AS1102" s="185" t="str">
        <f t="shared" ref="AS1102" si="1417">AE1103</f>
        <v/>
      </c>
      <c r="AT1102" s="185" t="str">
        <f t="shared" ref="AT1102" si="1418">AE1104</f>
        <v/>
      </c>
      <c r="AU1102" s="185" t="str">
        <f t="shared" ref="AU1102" si="1419">AE1105</f>
        <v/>
      </c>
      <c r="AV1102" s="185" t="str">
        <f t="shared" ref="AV1102" si="1420">AE1106</f>
        <v/>
      </c>
      <c r="AW1102" s="185" t="str">
        <f t="shared" ref="AW1102" si="1421">AE1107</f>
        <v/>
      </c>
      <c r="AX1102" s="185" t="str">
        <f t="shared" ref="AX1102" si="1422">AE1108</f>
        <v/>
      </c>
    </row>
    <row r="1103" spans="4:50" x14ac:dyDescent="0.3">
      <c r="D1103" s="244"/>
      <c r="E1103" s="341" t="str">
        <f>IF(OR(M1103="",M1103=0,J1103="",G1103=""),"",
(IF(AND(F1100=$P$4,M1103&lt;=$R$4),$V$4,0)+IF(AND(F1100=$P$5,M1103&lt;=$R$5),$V$5,0)+IF(AND(F1100=$P$6,M1103&lt;=$R$6),$V$6,0)+IF(AND(F1100=$P$7,M1103&lt;=$R$7),$V$7,0))
)</f>
        <v/>
      </c>
      <c r="F1103" s="153" t="s">
        <v>303</v>
      </c>
      <c r="G1103" s="616"/>
      <c r="H1103" s="617"/>
      <c r="I1103" s="618"/>
      <c r="J1103" s="616"/>
      <c r="K1103" s="617"/>
      <c r="L1103" s="618"/>
      <c r="M1103" s="255"/>
      <c r="N1103" s="256"/>
      <c r="O1103" s="388"/>
      <c r="AD1103" s="244"/>
      <c r="AE1103" s="341" t="str">
        <f>IF(OR(AM1103="",AM1103=0,AJ1103="",AG1103=""),"",
(IF(AND(AF1100=$P$4,AM1103&lt;=$R$4),$V$4,0)+IF(AND(AF1100=$P$5,AM1103&lt;=$R$5),$V$5,0)+IF(AND(AF1100=$P$6,AM1103&lt;=$R$6),$V$6,0)+IF(AND(AF1100=$P$7,AM1103&lt;=$R$7),$V$7,0))
)</f>
        <v/>
      </c>
      <c r="AF1103" s="153" t="s">
        <v>303</v>
      </c>
      <c r="AG1103" s="598"/>
      <c r="AH1103" s="599"/>
      <c r="AI1103" s="600"/>
      <c r="AJ1103" s="598"/>
      <c r="AK1103" s="599"/>
      <c r="AL1103" s="600"/>
      <c r="AM1103" s="384"/>
      <c r="AN1103" s="256"/>
      <c r="AO1103" s="388"/>
    </row>
    <row r="1104" spans="4:50" x14ac:dyDescent="0.3">
      <c r="D1104" s="244"/>
      <c r="E1104" s="341" t="str">
        <f>IF(OR(M1104="",M1104=0,J1104="",G1104=""),"",
(IF(AND(F1100=$P$4,M1104&lt;=$R$4),$V$4,0)+IF(AND(F1100=$P$5,M1104&lt;=$R$5),$V$5,0)+IF(AND(F1100=$P$6,M1104&lt;=$R$6),$V$6,0)+IF(AND(F1100=$P$7,M1104&lt;=$R$7),$V$7,0))
)</f>
        <v/>
      </c>
      <c r="F1104" s="153" t="s">
        <v>304</v>
      </c>
      <c r="G1104" s="616"/>
      <c r="H1104" s="617"/>
      <c r="I1104" s="618"/>
      <c r="J1104" s="616"/>
      <c r="K1104" s="617"/>
      <c r="L1104" s="618"/>
      <c r="M1104" s="255"/>
      <c r="N1104" s="256"/>
      <c r="O1104" s="388"/>
      <c r="AD1104" s="244"/>
      <c r="AE1104" s="341" t="str">
        <f>IF(OR(AM1104="",AM1104=0,AJ1104="",AG1104=""),"",
(IF(AND(AF1100=$P$4,AM1104&lt;=$R$4),$V$4,0)+IF(AND(AF1100=$P$5,AM1104&lt;=$R$5),$V$5,0)+IF(AND(AF1100=$P$6,AM1104&lt;=$R$6),$V$6,0)+IF(AND(AF1100=$P$7,AM1104&lt;=$R$7),$V$7,0))
)</f>
        <v/>
      </c>
      <c r="AF1104" s="153" t="s">
        <v>304</v>
      </c>
      <c r="AG1104" s="598"/>
      <c r="AH1104" s="599"/>
      <c r="AI1104" s="600"/>
      <c r="AJ1104" s="598"/>
      <c r="AK1104" s="599"/>
      <c r="AL1104" s="600"/>
      <c r="AM1104" s="384"/>
      <c r="AN1104" s="256"/>
      <c r="AO1104" s="388"/>
    </row>
    <row r="1105" spans="4:50" x14ac:dyDescent="0.3">
      <c r="D1105" s="244"/>
      <c r="E1105" s="341" t="str">
        <f>IF(OR(M1105="",M1105=0,J1105="",G1105=""),"",
(IF(AND(F1100=$P$4,M1105&lt;=$R$4),$V$4,0)+IF(AND(F1100=$P$5,M1105&lt;=$R$5),$V$5,0)+IF(AND(F1100=$P$6,M1105&lt;=$R$6),$V$6,0)+IF(AND(F1100=$P$7,M1105&lt;=$R$7),$V$7,0))
)</f>
        <v/>
      </c>
      <c r="F1105" s="153" t="s">
        <v>305</v>
      </c>
      <c r="G1105" s="616"/>
      <c r="H1105" s="617"/>
      <c r="I1105" s="618"/>
      <c r="J1105" s="616"/>
      <c r="K1105" s="617"/>
      <c r="L1105" s="618"/>
      <c r="M1105" s="255"/>
      <c r="N1105" s="256"/>
      <c r="O1105" s="388"/>
      <c r="AD1105" s="244"/>
      <c r="AE1105" s="341" t="str">
        <f>IF(OR(AM1105="",AM1105=0,AJ1105="",AG1105=""),"",
(IF(AND(AF1100=$P$4,AM1105&lt;=$R$4),$V$4,0)+IF(AND(AF1100=$P$5,AM1105&lt;=$R$5),$V$5,0)+IF(AND(AF1100=$P$6,AM1105&lt;=$R$6),$V$6,0)+IF(AND(AF1100=$P$7,AM1105&lt;=$R$7),$V$7,0))
)</f>
        <v/>
      </c>
      <c r="AF1105" s="153" t="s">
        <v>305</v>
      </c>
      <c r="AG1105" s="598"/>
      <c r="AH1105" s="599"/>
      <c r="AI1105" s="600"/>
      <c r="AJ1105" s="598"/>
      <c r="AK1105" s="599"/>
      <c r="AL1105" s="600"/>
      <c r="AM1105" s="384"/>
      <c r="AN1105" s="256"/>
      <c r="AO1105" s="388"/>
    </row>
    <row r="1106" spans="4:50" x14ac:dyDescent="0.3">
      <c r="D1106" s="244"/>
      <c r="E1106" s="341" t="str">
        <f>IF(OR(M1106="",M1106=0,J1106="",G1106=""),"",
(IF(AND(F1100=$P$4,M1106&lt;=$R$4),$V$4,0)+IF(AND(F1100=$P$5,M1106&lt;=$R$5),$V$5,0)+IF(AND(F1100=$P$6,M1106&lt;=$R$6),$V$6,0)+IF(AND(F1100=$P$7,M1106&lt;=$R$7),$V$7,0))
)</f>
        <v/>
      </c>
      <c r="F1106" s="153" t="s">
        <v>306</v>
      </c>
      <c r="G1106" s="616"/>
      <c r="H1106" s="617"/>
      <c r="I1106" s="618"/>
      <c r="J1106" s="616"/>
      <c r="K1106" s="617"/>
      <c r="L1106" s="618"/>
      <c r="M1106" s="255"/>
      <c r="N1106" s="256"/>
      <c r="O1106" s="388"/>
      <c r="AD1106" s="244"/>
      <c r="AE1106" s="341" t="str">
        <f>IF(OR(AM1106="",AM1106=0,AJ1106="",AG1106=""),"",
(IF(AND(AF1100=$P$4,AM1106&lt;=$R$4),$V$4,0)+IF(AND(AF1100=$P$5,AM1106&lt;=$R$5),$V$5,0)+IF(AND(AF1100=$P$6,AM1106&lt;=$R$6),$V$6,0)+IF(AND(AF1100=$P$7,AM1106&lt;=$R$7),$V$7,0))
)</f>
        <v/>
      </c>
      <c r="AF1106" s="153" t="s">
        <v>306</v>
      </c>
      <c r="AG1106" s="598"/>
      <c r="AH1106" s="599"/>
      <c r="AI1106" s="600"/>
      <c r="AJ1106" s="598"/>
      <c r="AK1106" s="599"/>
      <c r="AL1106" s="600"/>
      <c r="AM1106" s="384"/>
      <c r="AN1106" s="256"/>
      <c r="AO1106" s="388"/>
    </row>
    <row r="1107" spans="4:50" x14ac:dyDescent="0.3">
      <c r="D1107" s="244"/>
      <c r="E1107" s="341" t="str">
        <f>IF(OR(M1107="",M1107=0,J1107="",G1107=""),"",
(IF(AND(F1100=$P$4,M1107&lt;=$R$4),$V$4,0)+IF(AND(F1100=$P$5,M1107&lt;=$R$5),$V$5,0)+IF(AND(F1100=$P$6,M1107&lt;=$R$6),$V$6,0)+IF(AND(F1100=$P$7,M1107&lt;=$R$7),$V$7,0))
)</f>
        <v/>
      </c>
      <c r="F1107" s="153" t="s">
        <v>307</v>
      </c>
      <c r="G1107" s="616"/>
      <c r="H1107" s="617"/>
      <c r="I1107" s="618"/>
      <c r="J1107" s="616"/>
      <c r="K1107" s="617"/>
      <c r="L1107" s="618"/>
      <c r="M1107" s="255"/>
      <c r="N1107" s="256"/>
      <c r="O1107" s="388"/>
      <c r="AD1107" s="244"/>
      <c r="AE1107" s="341" t="str">
        <f>IF(OR(AM1107="",AM1107=0,AJ1107="",AG1107=""),"",
(IF(AND(AF1100=$P$4,AM1107&lt;=$R$4),$V$4,0)+IF(AND(AF1100=$P$5,AM1107&lt;=$R$5),$V$5,0)+IF(AND(AF1100=$P$6,AM1107&lt;=$R$6),$V$6,0)+IF(AND(AF1100=$P$7,AM1107&lt;=$R$7),$V$7,0))
)</f>
        <v/>
      </c>
      <c r="AF1107" s="153" t="s">
        <v>307</v>
      </c>
      <c r="AG1107" s="598"/>
      <c r="AH1107" s="599"/>
      <c r="AI1107" s="600"/>
      <c r="AJ1107" s="598"/>
      <c r="AK1107" s="599"/>
      <c r="AL1107" s="600"/>
      <c r="AM1107" s="384"/>
      <c r="AN1107" s="256"/>
      <c r="AO1107" s="388"/>
    </row>
    <row r="1108" spans="4:50" x14ac:dyDescent="0.3">
      <c r="D1108" s="244"/>
      <c r="E1108" s="341" t="str">
        <f>IF(OR(M1108="",M1108=0,J1108="",G1108=""),"",
(IF(AND(F1100=$P$4,M1108&lt;=$R$4),$V$4,0)+IF(AND(F1100=$P$5,M1108&lt;=$R$5),$V$5,0)+IF(AND(F1100=$P$6,M1108&lt;=$R$6),$V$6,0)+IF(AND(F1100=$P$7,M1108&lt;=$R$7),$V$7,0))
)</f>
        <v/>
      </c>
      <c r="F1108" s="153" t="s">
        <v>308</v>
      </c>
      <c r="G1108" s="616"/>
      <c r="H1108" s="617"/>
      <c r="I1108" s="618"/>
      <c r="J1108" s="616"/>
      <c r="K1108" s="617"/>
      <c r="L1108" s="618"/>
      <c r="M1108" s="255"/>
      <c r="N1108" s="256"/>
      <c r="O1108" s="388"/>
      <c r="AD1108" s="244"/>
      <c r="AE1108" s="341" t="str">
        <f>IF(OR(AM1108="",AM1108=0,AJ1108="",AG1108=""),"",
(IF(AND(AF1100=$P$4,AM1108&lt;=$R$4),$V$4,0)+IF(AND(AF1100=$P$5,AM1108&lt;=$R$5),$V$5,0)+IF(AND(AF1100=$P$6,AM1108&lt;=$R$6),$V$6,0)+IF(AND(AF1100=$P$7,AM1108&lt;=$R$7),$V$7,0))
)</f>
        <v/>
      </c>
      <c r="AF1108" s="153" t="s">
        <v>308</v>
      </c>
      <c r="AG1108" s="598"/>
      <c r="AH1108" s="599"/>
      <c r="AI1108" s="600"/>
      <c r="AJ1108" s="598"/>
      <c r="AK1108" s="599"/>
      <c r="AL1108" s="600"/>
      <c r="AM1108" s="384"/>
      <c r="AN1108" s="256"/>
      <c r="AO1108" s="388"/>
    </row>
    <row r="1109" spans="4:50" ht="16.2" thickBot="1" x14ac:dyDescent="0.35">
      <c r="D1109" s="203"/>
      <c r="E1109" s="3"/>
      <c r="F1109" s="3"/>
      <c r="G1109" s="3"/>
      <c r="H1109" s="3"/>
      <c r="I1109" s="3"/>
      <c r="J1109" s="3"/>
      <c r="K1109" s="3"/>
      <c r="L1109" s="3"/>
      <c r="M1109" s="3"/>
      <c r="N1109" s="204"/>
      <c r="P1109" s="2"/>
      <c r="AD1109" s="203"/>
      <c r="AE1109" s="3"/>
      <c r="AF1109" s="3"/>
      <c r="AG1109" s="3"/>
      <c r="AH1109" s="3"/>
      <c r="AI1109" s="3"/>
      <c r="AJ1109" s="3"/>
      <c r="AK1109" s="3"/>
      <c r="AL1109" s="3"/>
      <c r="AM1109" s="3"/>
      <c r="AN1109" s="204"/>
      <c r="AP1109" s="2"/>
    </row>
    <row r="1110" spans="4:50" x14ac:dyDescent="0.3">
      <c r="D1110" s="601" t="str">
        <f>IF(
OR(
OR(F1112=$P$4,F1112=$P$5,F1112=$P$6,F1112=$P$7),AND(G1114="",G1115="",G1116="",G1117="",G1118="",G1119="",G1120="",J1114="",J1115="",J1116="",J1117="",J1118="",J1119="",J1120="",M1114="",M1115="",M1116="",M1117="",M1118="",M1119="",M1120="",K1111="",K1112="")
),
"",
"A Set-Aside must be selected."
)</f>
        <v/>
      </c>
      <c r="E1110" s="602"/>
      <c r="F1110" s="602"/>
      <c r="G1110" s="602"/>
      <c r="H1110" s="602"/>
      <c r="I1110" s="602"/>
      <c r="J1110" s="602"/>
      <c r="K1110" s="602"/>
      <c r="L1110" s="602"/>
      <c r="M1110" s="602"/>
      <c r="N1110" s="603"/>
      <c r="O1110" s="2"/>
      <c r="AD1110" s="601" t="str">
        <f>IF(
OR(
OR(AF1112=$P$4,AF1112=$P$5,AF1112=$P$6,AF1112=$P$7),AND(AG1114="",AG1115="",AG1116="",AG1117="",AG1118="",AG1119="",AG1120="",AJ1114="",AJ1115="",AJ1116="",AJ1117="",AJ1118="",AJ1119="",AJ1120="",AM1114="",AM1115="",AM1116="",AM1117="",AM1118="",AM1119="",AM1120="",AK1111="",AK1112="")
),
"",
"A Set-Aside must be selected."
)</f>
        <v/>
      </c>
      <c r="AE1110" s="602"/>
      <c r="AF1110" s="602"/>
      <c r="AG1110" s="602"/>
      <c r="AH1110" s="602"/>
      <c r="AI1110" s="602"/>
      <c r="AJ1110" s="602"/>
      <c r="AK1110" s="602"/>
      <c r="AL1110" s="602"/>
      <c r="AM1110" s="602"/>
      <c r="AN1110" s="603"/>
      <c r="AO1110" s="2"/>
    </row>
    <row r="1111" spans="4:50" ht="15.75" customHeight="1" x14ac:dyDescent="0.3">
      <c r="D1111" s="199"/>
      <c r="E1111" s="9" t="s">
        <v>30</v>
      </c>
      <c r="F1111" s="86">
        <f>F1099+1</f>
        <v>90</v>
      </c>
      <c r="G1111" s="9" t="s">
        <v>175</v>
      </c>
      <c r="H1111" s="9"/>
      <c r="I1111" s="9"/>
      <c r="J1111" s="168" t="s">
        <v>111</v>
      </c>
      <c r="K1111" s="148"/>
      <c r="N1111" s="200"/>
      <c r="R1111" s="596" t="s">
        <v>302</v>
      </c>
      <c r="S1111" s="596" t="s">
        <v>303</v>
      </c>
      <c r="T1111" s="596" t="s">
        <v>304</v>
      </c>
      <c r="U1111" s="596" t="s">
        <v>305</v>
      </c>
      <c r="V1111" s="596" t="s">
        <v>306</v>
      </c>
      <c r="W1111" s="596" t="s">
        <v>307</v>
      </c>
      <c r="X1111" s="596" t="s">
        <v>308</v>
      </c>
      <c r="AD1111" s="199"/>
      <c r="AE1111" s="9" t="s">
        <v>30</v>
      </c>
      <c r="AF1111" s="86">
        <f>AF1099+1</f>
        <v>90</v>
      </c>
      <c r="AG1111" s="9" t="s">
        <v>175</v>
      </c>
      <c r="AH1111" s="9"/>
      <c r="AI1111" s="9"/>
      <c r="AJ1111" s="168" t="s">
        <v>111</v>
      </c>
      <c r="AK1111" s="382"/>
      <c r="AN1111" s="200"/>
      <c r="AR1111" s="596" t="s">
        <v>302</v>
      </c>
      <c r="AS1111" s="596" t="s">
        <v>303</v>
      </c>
      <c r="AT1111" s="596" t="s">
        <v>304</v>
      </c>
      <c r="AU1111" s="596" t="s">
        <v>305</v>
      </c>
      <c r="AV1111" s="596" t="s">
        <v>306</v>
      </c>
      <c r="AW1111" s="596" t="s">
        <v>307</v>
      </c>
      <c r="AX1111" s="596" t="s">
        <v>308</v>
      </c>
    </row>
    <row r="1112" spans="4:50" x14ac:dyDescent="0.3">
      <c r="D1112" s="604" t="s">
        <v>31</v>
      </c>
      <c r="E1112" s="594"/>
      <c r="F1112" s="151"/>
      <c r="G1112" s="86" t="str">
        <f>IF(F1112=$P$4,$Q$4,IF(F1112=$P$5,$Q$5,IF(F1112=$P$6,$Q$6,IF(F1112=$P$7,Q$7,IF(F1112=$P$8,"","")))))</f>
        <v/>
      </c>
      <c r="H1112" s="201"/>
      <c r="I1112" s="201"/>
      <c r="J1112" s="168" t="s">
        <v>112</v>
      </c>
      <c r="K1112" s="148"/>
      <c r="N1112" s="200"/>
      <c r="R1112" s="596"/>
      <c r="S1112" s="596"/>
      <c r="T1112" s="596"/>
      <c r="U1112" s="596"/>
      <c r="V1112" s="596"/>
      <c r="W1112" s="596"/>
      <c r="X1112" s="596"/>
      <c r="AD1112" s="604" t="s">
        <v>31</v>
      </c>
      <c r="AE1112" s="594"/>
      <c r="AF1112" s="383"/>
      <c r="AG1112" s="86" t="str">
        <f>IF(AF1112=$P$4,$Q$4,IF(AF1112=$P$5,$Q$5,IF(AF1112=$P$6,$Q$6,IF(AF1112=$P$7,AQ$7,IF(AF1112=$P$8,"","")))))</f>
        <v/>
      </c>
      <c r="AH1112" s="201"/>
      <c r="AI1112" s="201"/>
      <c r="AJ1112" s="168" t="s">
        <v>112</v>
      </c>
      <c r="AK1112" s="382"/>
      <c r="AN1112" s="200"/>
      <c r="AR1112" s="596"/>
      <c r="AS1112" s="596"/>
      <c r="AT1112" s="596"/>
      <c r="AU1112" s="596"/>
      <c r="AV1112" s="596"/>
      <c r="AW1112" s="596"/>
      <c r="AX1112" s="596"/>
    </row>
    <row r="1113" spans="4:50" x14ac:dyDescent="0.3">
      <c r="D1113" s="244"/>
      <c r="E1113" s="230" t="s">
        <v>52</v>
      </c>
      <c r="F1113" s="9" t="s">
        <v>32</v>
      </c>
      <c r="G1113" s="9" t="s">
        <v>33</v>
      </c>
      <c r="H1113" s="9"/>
      <c r="I1113" s="9"/>
      <c r="J1113" s="9" t="s">
        <v>34</v>
      </c>
      <c r="K1113" s="9"/>
      <c r="L1113" s="9"/>
      <c r="M1113" s="257" t="s">
        <v>35</v>
      </c>
      <c r="N1113" s="202"/>
      <c r="O1113" s="9"/>
      <c r="P1113" s="198" t="s">
        <v>22</v>
      </c>
      <c r="Q1113" s="198"/>
      <c r="R1113" s="596"/>
      <c r="S1113" s="596"/>
      <c r="T1113" s="596"/>
      <c r="U1113" s="596"/>
      <c r="V1113" s="596"/>
      <c r="W1113" s="596"/>
      <c r="X1113" s="596"/>
      <c r="AD1113" s="244"/>
      <c r="AE1113" s="230" t="s">
        <v>52</v>
      </c>
      <c r="AF1113" s="9" t="s">
        <v>32</v>
      </c>
      <c r="AG1113" s="9" t="s">
        <v>33</v>
      </c>
      <c r="AH1113" s="9"/>
      <c r="AI1113" s="9"/>
      <c r="AJ1113" s="9" t="s">
        <v>34</v>
      </c>
      <c r="AK1113" s="9"/>
      <c r="AL1113" s="9"/>
      <c r="AM1113" s="257" t="s">
        <v>35</v>
      </c>
      <c r="AN1113" s="202"/>
      <c r="AO1113" s="9"/>
      <c r="AP1113" s="198" t="s">
        <v>22</v>
      </c>
      <c r="AQ1113" s="198"/>
      <c r="AR1113" s="596"/>
      <c r="AS1113" s="596"/>
      <c r="AT1113" s="596"/>
      <c r="AU1113" s="596"/>
      <c r="AV1113" s="596"/>
      <c r="AW1113" s="596"/>
      <c r="AX1113" s="596"/>
    </row>
    <row r="1114" spans="4:50" x14ac:dyDescent="0.3">
      <c r="D1114" s="244"/>
      <c r="E1114" s="355" t="str">
        <f>IF(OR(M1114="",M1114=0,J1114="",G1114=""),"",
(IF(AND(F1112=$P$4,M1114&lt;=$R$4),$V$4,0)+IF(AND(F1112=$P$5,M1114&lt;=$R$5),$V$5,0)+IF(AND(F1112=$P$6,M1114&lt;=$R$6),$V$6,0)+IF(AND(F1112=$P$7,M1114&lt;=$R$7),$V$7,0))
)</f>
        <v/>
      </c>
      <c r="F1114" s="153" t="s">
        <v>302</v>
      </c>
      <c r="G1114" s="616"/>
      <c r="H1114" s="617"/>
      <c r="I1114" s="618"/>
      <c r="J1114" s="616"/>
      <c r="K1114" s="617"/>
      <c r="L1114" s="618"/>
      <c r="M1114" s="255"/>
      <c r="N1114" s="256"/>
      <c r="O1114" s="388"/>
      <c r="P1114" s="185">
        <f t="shared" ref="P1114" si="1423">IF(F1112="",0,1)</f>
        <v>0</v>
      </c>
      <c r="R1114" s="185" t="str">
        <f t="shared" ref="R1114" si="1424">E1114</f>
        <v/>
      </c>
      <c r="S1114" s="185" t="str">
        <f t="shared" ref="S1114" si="1425">E1115</f>
        <v/>
      </c>
      <c r="T1114" s="185" t="str">
        <f t="shared" ref="T1114" si="1426">E1116</f>
        <v/>
      </c>
      <c r="U1114" s="185" t="str">
        <f t="shared" ref="U1114" si="1427">E1117</f>
        <v/>
      </c>
      <c r="V1114" s="185" t="str">
        <f t="shared" ref="V1114" si="1428">E1118</f>
        <v/>
      </c>
      <c r="W1114" s="185" t="str">
        <f t="shared" ref="W1114" si="1429">E1119</f>
        <v/>
      </c>
      <c r="X1114" s="185" t="str">
        <f t="shared" ref="X1114" si="1430">E1120</f>
        <v/>
      </c>
      <c r="AD1114" s="244"/>
      <c r="AE1114" s="355" t="str">
        <f>IF(OR(AM1114="",AM1114=0,AJ1114="",AG1114=""),"",
(IF(AND(AF1112=$P$4,AM1114&lt;=$R$4),$V$4,0)+IF(AND(AF1112=$P$5,AM1114&lt;=$R$5),$V$5,0)+IF(AND(AF1112=$P$6,AM1114&lt;=$R$6),$V$6,0)+IF(AND(AF1112=$P$7,AM1114&lt;=$R$7),$V$7,0))
)</f>
        <v/>
      </c>
      <c r="AF1114" s="153" t="s">
        <v>302</v>
      </c>
      <c r="AG1114" s="598"/>
      <c r="AH1114" s="599"/>
      <c r="AI1114" s="600"/>
      <c r="AJ1114" s="598"/>
      <c r="AK1114" s="599"/>
      <c r="AL1114" s="600"/>
      <c r="AM1114" s="384"/>
      <c r="AN1114" s="256"/>
      <c r="AO1114" s="388"/>
      <c r="AP1114" s="185">
        <f t="shared" ref="AP1114" si="1431">IF(AF1112="",0,1)</f>
        <v>0</v>
      </c>
      <c r="AR1114" s="185" t="str">
        <f t="shared" ref="AR1114" si="1432">AE1114</f>
        <v/>
      </c>
      <c r="AS1114" s="185" t="str">
        <f t="shared" ref="AS1114" si="1433">AE1115</f>
        <v/>
      </c>
      <c r="AT1114" s="185" t="str">
        <f t="shared" ref="AT1114" si="1434">AE1116</f>
        <v/>
      </c>
      <c r="AU1114" s="185" t="str">
        <f t="shared" ref="AU1114" si="1435">AE1117</f>
        <v/>
      </c>
      <c r="AV1114" s="185" t="str">
        <f t="shared" ref="AV1114" si="1436">AE1118</f>
        <v/>
      </c>
      <c r="AW1114" s="185" t="str">
        <f t="shared" ref="AW1114" si="1437">AE1119</f>
        <v/>
      </c>
      <c r="AX1114" s="185" t="str">
        <f t="shared" ref="AX1114" si="1438">AE1120</f>
        <v/>
      </c>
    </row>
    <row r="1115" spans="4:50" x14ac:dyDescent="0.3">
      <c r="D1115" s="244"/>
      <c r="E1115" s="341" t="str">
        <f>IF(OR(M1115="",M1115=0,J1115="",G1115=""),"",
(IF(AND(F1112=$P$4,M1115&lt;=$R$4),$V$4,0)+IF(AND(F1112=$P$5,M1115&lt;=$R$5),$V$5,0)+IF(AND(F1112=$P$6,M1115&lt;=$R$6),$V$6,0)+IF(AND(F1112=$P$7,M1115&lt;=$R$7),$V$7,0))
)</f>
        <v/>
      </c>
      <c r="F1115" s="153" t="s">
        <v>303</v>
      </c>
      <c r="G1115" s="616"/>
      <c r="H1115" s="617"/>
      <c r="I1115" s="618"/>
      <c r="J1115" s="616"/>
      <c r="K1115" s="617"/>
      <c r="L1115" s="618"/>
      <c r="M1115" s="255"/>
      <c r="N1115" s="256"/>
      <c r="O1115" s="388"/>
      <c r="AD1115" s="244"/>
      <c r="AE1115" s="341" t="str">
        <f>IF(OR(AM1115="",AM1115=0,AJ1115="",AG1115=""),"",
(IF(AND(AF1112=$P$4,AM1115&lt;=$R$4),$V$4,0)+IF(AND(AF1112=$P$5,AM1115&lt;=$R$5),$V$5,0)+IF(AND(AF1112=$P$6,AM1115&lt;=$R$6),$V$6,0)+IF(AND(AF1112=$P$7,AM1115&lt;=$R$7),$V$7,0))
)</f>
        <v/>
      </c>
      <c r="AF1115" s="153" t="s">
        <v>303</v>
      </c>
      <c r="AG1115" s="598"/>
      <c r="AH1115" s="599"/>
      <c r="AI1115" s="600"/>
      <c r="AJ1115" s="598"/>
      <c r="AK1115" s="599"/>
      <c r="AL1115" s="600"/>
      <c r="AM1115" s="384"/>
      <c r="AN1115" s="256"/>
      <c r="AO1115" s="388"/>
    </row>
    <row r="1116" spans="4:50" x14ac:dyDescent="0.3">
      <c r="D1116" s="244"/>
      <c r="E1116" s="341" t="str">
        <f>IF(OR(M1116="",M1116=0,J1116="",G1116=""),"",
(IF(AND(F1112=$P$4,M1116&lt;=$R$4),$V$4,0)+IF(AND(F1112=$P$5,M1116&lt;=$R$5),$V$5,0)+IF(AND(F1112=$P$6,M1116&lt;=$R$6),$V$6,0)+IF(AND(F1112=$P$7,M1116&lt;=$R$7),$V$7,0))
)</f>
        <v/>
      </c>
      <c r="F1116" s="153" t="s">
        <v>304</v>
      </c>
      <c r="G1116" s="616"/>
      <c r="H1116" s="617"/>
      <c r="I1116" s="618"/>
      <c r="J1116" s="616"/>
      <c r="K1116" s="617"/>
      <c r="L1116" s="618"/>
      <c r="M1116" s="255"/>
      <c r="N1116" s="256"/>
      <c r="O1116" s="388"/>
      <c r="AD1116" s="244"/>
      <c r="AE1116" s="341" t="str">
        <f>IF(OR(AM1116="",AM1116=0,AJ1116="",AG1116=""),"",
(IF(AND(AF1112=$P$4,AM1116&lt;=$R$4),$V$4,0)+IF(AND(AF1112=$P$5,AM1116&lt;=$R$5),$V$5,0)+IF(AND(AF1112=$P$6,AM1116&lt;=$R$6),$V$6,0)+IF(AND(AF1112=$P$7,AM1116&lt;=$R$7),$V$7,0))
)</f>
        <v/>
      </c>
      <c r="AF1116" s="153" t="s">
        <v>304</v>
      </c>
      <c r="AG1116" s="598"/>
      <c r="AH1116" s="599"/>
      <c r="AI1116" s="600"/>
      <c r="AJ1116" s="598"/>
      <c r="AK1116" s="599"/>
      <c r="AL1116" s="600"/>
      <c r="AM1116" s="384"/>
      <c r="AN1116" s="256"/>
      <c r="AO1116" s="388"/>
    </row>
    <row r="1117" spans="4:50" x14ac:dyDescent="0.3">
      <c r="D1117" s="244"/>
      <c r="E1117" s="341" t="str">
        <f>IF(OR(M1117="",M1117=0,J1117="",G1117=""),"",
(IF(AND(F1112=$P$4,M1117&lt;=$R$4),$V$4,0)+IF(AND(F1112=$P$5,M1117&lt;=$R$5),$V$5,0)+IF(AND(F1112=$P$6,M1117&lt;=$R$6),$V$6,0)+IF(AND(F1112=$P$7,M1117&lt;=$R$7),$V$7,0))
)</f>
        <v/>
      </c>
      <c r="F1117" s="153" t="s">
        <v>305</v>
      </c>
      <c r="G1117" s="616"/>
      <c r="H1117" s="617"/>
      <c r="I1117" s="618"/>
      <c r="J1117" s="616"/>
      <c r="K1117" s="617"/>
      <c r="L1117" s="618"/>
      <c r="M1117" s="255"/>
      <c r="N1117" s="256"/>
      <c r="O1117" s="388"/>
      <c r="AD1117" s="244"/>
      <c r="AE1117" s="341" t="str">
        <f>IF(OR(AM1117="",AM1117=0,AJ1117="",AG1117=""),"",
(IF(AND(AF1112=$P$4,AM1117&lt;=$R$4),$V$4,0)+IF(AND(AF1112=$P$5,AM1117&lt;=$R$5),$V$5,0)+IF(AND(AF1112=$P$6,AM1117&lt;=$R$6),$V$6,0)+IF(AND(AF1112=$P$7,AM1117&lt;=$R$7),$V$7,0))
)</f>
        <v/>
      </c>
      <c r="AF1117" s="153" t="s">
        <v>305</v>
      </c>
      <c r="AG1117" s="598"/>
      <c r="AH1117" s="599"/>
      <c r="AI1117" s="600"/>
      <c r="AJ1117" s="598"/>
      <c r="AK1117" s="599"/>
      <c r="AL1117" s="600"/>
      <c r="AM1117" s="384"/>
      <c r="AN1117" s="256"/>
      <c r="AO1117" s="388"/>
    </row>
    <row r="1118" spans="4:50" x14ac:dyDescent="0.3">
      <c r="D1118" s="244"/>
      <c r="E1118" s="341" t="str">
        <f>IF(OR(M1118="",M1118=0,J1118="",G1118=""),"",
(IF(AND(F1112=$P$4,M1118&lt;=$R$4),$V$4,0)+IF(AND(F1112=$P$5,M1118&lt;=$R$5),$V$5,0)+IF(AND(F1112=$P$6,M1118&lt;=$R$6),$V$6,0)+IF(AND(F1112=$P$7,M1118&lt;=$R$7),$V$7,0))
)</f>
        <v/>
      </c>
      <c r="F1118" s="153" t="s">
        <v>306</v>
      </c>
      <c r="G1118" s="616"/>
      <c r="H1118" s="617"/>
      <c r="I1118" s="618"/>
      <c r="J1118" s="616"/>
      <c r="K1118" s="617"/>
      <c r="L1118" s="618"/>
      <c r="M1118" s="255"/>
      <c r="N1118" s="256"/>
      <c r="O1118" s="388"/>
      <c r="AD1118" s="244"/>
      <c r="AE1118" s="341" t="str">
        <f>IF(OR(AM1118="",AM1118=0,AJ1118="",AG1118=""),"",
(IF(AND(AF1112=$P$4,AM1118&lt;=$R$4),$V$4,0)+IF(AND(AF1112=$P$5,AM1118&lt;=$R$5),$V$5,0)+IF(AND(AF1112=$P$6,AM1118&lt;=$R$6),$V$6,0)+IF(AND(AF1112=$P$7,AM1118&lt;=$R$7),$V$7,0))
)</f>
        <v/>
      </c>
      <c r="AF1118" s="153" t="s">
        <v>306</v>
      </c>
      <c r="AG1118" s="598"/>
      <c r="AH1118" s="599"/>
      <c r="AI1118" s="600"/>
      <c r="AJ1118" s="598"/>
      <c r="AK1118" s="599"/>
      <c r="AL1118" s="600"/>
      <c r="AM1118" s="384"/>
      <c r="AN1118" s="256"/>
      <c r="AO1118" s="388"/>
    </row>
    <row r="1119" spans="4:50" x14ac:dyDescent="0.3">
      <c r="D1119" s="244"/>
      <c r="E1119" s="341" t="str">
        <f>IF(OR(M1119="",M1119=0,J1119="",G1119=""),"",
(IF(AND(F1112=$P$4,M1119&lt;=$R$4),$V$4,0)+IF(AND(F1112=$P$5,M1119&lt;=$R$5),$V$5,0)+IF(AND(F1112=$P$6,M1119&lt;=$R$6),$V$6,0)+IF(AND(F1112=$P$7,M1119&lt;=$R$7),$V$7,0))
)</f>
        <v/>
      </c>
      <c r="F1119" s="153" t="s">
        <v>307</v>
      </c>
      <c r="G1119" s="616"/>
      <c r="H1119" s="617"/>
      <c r="I1119" s="618"/>
      <c r="J1119" s="616"/>
      <c r="K1119" s="617"/>
      <c r="L1119" s="618"/>
      <c r="M1119" s="255"/>
      <c r="N1119" s="256"/>
      <c r="O1119" s="388"/>
      <c r="AD1119" s="244"/>
      <c r="AE1119" s="341" t="str">
        <f>IF(OR(AM1119="",AM1119=0,AJ1119="",AG1119=""),"",
(IF(AND(AF1112=$P$4,AM1119&lt;=$R$4),$V$4,0)+IF(AND(AF1112=$P$5,AM1119&lt;=$R$5),$V$5,0)+IF(AND(AF1112=$P$6,AM1119&lt;=$R$6),$V$6,0)+IF(AND(AF1112=$P$7,AM1119&lt;=$R$7),$V$7,0))
)</f>
        <v/>
      </c>
      <c r="AF1119" s="153" t="s">
        <v>307</v>
      </c>
      <c r="AG1119" s="598"/>
      <c r="AH1119" s="599"/>
      <c r="AI1119" s="600"/>
      <c r="AJ1119" s="598"/>
      <c r="AK1119" s="599"/>
      <c r="AL1119" s="600"/>
      <c r="AM1119" s="384"/>
      <c r="AN1119" s="256"/>
      <c r="AO1119" s="388"/>
    </row>
    <row r="1120" spans="4:50" x14ac:dyDescent="0.3">
      <c r="D1120" s="244"/>
      <c r="E1120" s="341" t="str">
        <f>IF(OR(M1120="",M1120=0,J1120="",G1120=""),"",
(IF(AND(F1112=$P$4,M1120&lt;=$R$4),$V$4,0)+IF(AND(F1112=$P$5,M1120&lt;=$R$5),$V$5,0)+IF(AND(F1112=$P$6,M1120&lt;=$R$6),$V$6,0)+IF(AND(F1112=$P$7,M1120&lt;=$R$7),$V$7,0))
)</f>
        <v/>
      </c>
      <c r="F1120" s="153" t="s">
        <v>308</v>
      </c>
      <c r="G1120" s="616"/>
      <c r="H1120" s="617"/>
      <c r="I1120" s="618"/>
      <c r="J1120" s="616"/>
      <c r="K1120" s="617"/>
      <c r="L1120" s="618"/>
      <c r="M1120" s="255"/>
      <c r="N1120" s="256"/>
      <c r="O1120" s="388"/>
      <c r="AD1120" s="244"/>
      <c r="AE1120" s="341" t="str">
        <f>IF(OR(AM1120="",AM1120=0,AJ1120="",AG1120=""),"",
(IF(AND(AF1112=$P$4,AM1120&lt;=$R$4),$V$4,0)+IF(AND(AF1112=$P$5,AM1120&lt;=$R$5),$V$5,0)+IF(AND(AF1112=$P$6,AM1120&lt;=$R$6),$V$6,0)+IF(AND(AF1112=$P$7,AM1120&lt;=$R$7),$V$7,0))
)</f>
        <v/>
      </c>
      <c r="AF1120" s="153" t="s">
        <v>308</v>
      </c>
      <c r="AG1120" s="598"/>
      <c r="AH1120" s="599"/>
      <c r="AI1120" s="600"/>
      <c r="AJ1120" s="598"/>
      <c r="AK1120" s="599"/>
      <c r="AL1120" s="600"/>
      <c r="AM1120" s="384"/>
      <c r="AN1120" s="256"/>
      <c r="AO1120" s="388"/>
    </row>
    <row r="1121" spans="4:50" ht="16.2" thickBot="1" x14ac:dyDescent="0.35">
      <c r="D1121" s="203"/>
      <c r="E1121" s="3"/>
      <c r="F1121" s="3"/>
      <c r="G1121" s="3"/>
      <c r="H1121" s="3"/>
      <c r="I1121" s="3"/>
      <c r="J1121" s="3"/>
      <c r="K1121" s="3"/>
      <c r="L1121" s="3"/>
      <c r="M1121" s="3"/>
      <c r="N1121" s="204"/>
      <c r="P1121" s="2"/>
      <c r="AD1121" s="203"/>
      <c r="AE1121" s="3"/>
      <c r="AF1121" s="3"/>
      <c r="AG1121" s="3"/>
      <c r="AH1121" s="3"/>
      <c r="AI1121" s="3"/>
      <c r="AJ1121" s="3"/>
      <c r="AK1121" s="3"/>
      <c r="AL1121" s="3"/>
      <c r="AM1121" s="3"/>
      <c r="AN1121" s="204"/>
      <c r="AP1121" s="2"/>
    </row>
    <row r="1122" spans="4:50" x14ac:dyDescent="0.3">
      <c r="D1122" s="601" t="str">
        <f>IF(
OR(
OR(F1124=$P$4,F1124=$P$5,F1124=$P$6,F1124=$P$7),AND(G1126="",G1127="",G1128="",G1129="",G1130="",G1131="",G1132="",J1126="",J1127="",J1128="",J1129="",J1130="",J1131="",J1132="",M1126="",M1127="",M1128="",M1129="",M1130="",M1131="",M1132="",K1123="",K1124="")
),
"",
"A Set-Aside must be selected."
)</f>
        <v/>
      </c>
      <c r="E1122" s="602"/>
      <c r="F1122" s="602"/>
      <c r="G1122" s="602"/>
      <c r="H1122" s="602"/>
      <c r="I1122" s="602"/>
      <c r="J1122" s="602"/>
      <c r="K1122" s="602"/>
      <c r="L1122" s="602"/>
      <c r="M1122" s="602"/>
      <c r="N1122" s="603"/>
      <c r="O1122" s="2"/>
      <c r="AD1122" s="601" t="str">
        <f>IF(
OR(
OR(AF1124=$P$4,AF1124=$P$5,AF1124=$P$6,AF1124=$P$7),AND(AG1126="",AG1127="",AG1128="",AG1129="",AG1130="",AG1131="",AG1132="",AJ1126="",AJ1127="",AJ1128="",AJ1129="",AJ1130="",AJ1131="",AJ1132="",AM1126="",AM1127="",AM1128="",AM1129="",AM1130="",AM1131="",AM1132="",AK1123="",AK1124="")
),
"",
"A Set-Aside must be selected."
)</f>
        <v/>
      </c>
      <c r="AE1122" s="602"/>
      <c r="AF1122" s="602"/>
      <c r="AG1122" s="602"/>
      <c r="AH1122" s="602"/>
      <c r="AI1122" s="602"/>
      <c r="AJ1122" s="602"/>
      <c r="AK1122" s="602"/>
      <c r="AL1122" s="602"/>
      <c r="AM1122" s="602"/>
      <c r="AN1122" s="603"/>
      <c r="AO1122" s="2"/>
    </row>
    <row r="1123" spans="4:50" ht="15.75" customHeight="1" x14ac:dyDescent="0.3">
      <c r="D1123" s="199"/>
      <c r="E1123" s="9" t="s">
        <v>30</v>
      </c>
      <c r="F1123" s="86">
        <f>F1111+1</f>
        <v>91</v>
      </c>
      <c r="G1123" s="9" t="s">
        <v>175</v>
      </c>
      <c r="H1123" s="9"/>
      <c r="I1123" s="9"/>
      <c r="J1123" s="168" t="s">
        <v>111</v>
      </c>
      <c r="K1123" s="148"/>
      <c r="N1123" s="200"/>
      <c r="R1123" s="596" t="s">
        <v>302</v>
      </c>
      <c r="S1123" s="596" t="s">
        <v>303</v>
      </c>
      <c r="T1123" s="596" t="s">
        <v>304</v>
      </c>
      <c r="U1123" s="596" t="s">
        <v>305</v>
      </c>
      <c r="V1123" s="596" t="s">
        <v>306</v>
      </c>
      <c r="W1123" s="596" t="s">
        <v>307</v>
      </c>
      <c r="X1123" s="596" t="s">
        <v>308</v>
      </c>
      <c r="AD1123" s="199"/>
      <c r="AE1123" s="9" t="s">
        <v>30</v>
      </c>
      <c r="AF1123" s="86">
        <f>AF1111+1</f>
        <v>91</v>
      </c>
      <c r="AG1123" s="9" t="s">
        <v>175</v>
      </c>
      <c r="AH1123" s="9"/>
      <c r="AI1123" s="9"/>
      <c r="AJ1123" s="168" t="s">
        <v>111</v>
      </c>
      <c r="AK1123" s="382"/>
      <c r="AN1123" s="200"/>
      <c r="AR1123" s="596" t="s">
        <v>302</v>
      </c>
      <c r="AS1123" s="596" t="s">
        <v>303</v>
      </c>
      <c r="AT1123" s="596" t="s">
        <v>304</v>
      </c>
      <c r="AU1123" s="596" t="s">
        <v>305</v>
      </c>
      <c r="AV1123" s="596" t="s">
        <v>306</v>
      </c>
      <c r="AW1123" s="596" t="s">
        <v>307</v>
      </c>
      <c r="AX1123" s="596" t="s">
        <v>308</v>
      </c>
    </row>
    <row r="1124" spans="4:50" x14ac:dyDescent="0.3">
      <c r="D1124" s="604" t="s">
        <v>31</v>
      </c>
      <c r="E1124" s="594"/>
      <c r="F1124" s="151"/>
      <c r="G1124" s="86" t="str">
        <f>IF(F1124=$P$4,$Q$4,IF(F1124=$P$5,$Q$5,IF(F1124=$P$6,$Q$6,IF(F1124=$P$7,Q$7,IF(F1124=$P$8,"","")))))</f>
        <v/>
      </c>
      <c r="H1124" s="201"/>
      <c r="I1124" s="201"/>
      <c r="J1124" s="168" t="s">
        <v>112</v>
      </c>
      <c r="K1124" s="148"/>
      <c r="N1124" s="200"/>
      <c r="R1124" s="596"/>
      <c r="S1124" s="596"/>
      <c r="T1124" s="596"/>
      <c r="U1124" s="596"/>
      <c r="V1124" s="596"/>
      <c r="W1124" s="596"/>
      <c r="X1124" s="596"/>
      <c r="AD1124" s="604" t="s">
        <v>31</v>
      </c>
      <c r="AE1124" s="594"/>
      <c r="AF1124" s="383"/>
      <c r="AG1124" s="86" t="str">
        <f>IF(AF1124=$P$4,$Q$4,IF(AF1124=$P$5,$Q$5,IF(AF1124=$P$6,$Q$6,IF(AF1124=$P$7,AQ$7,IF(AF1124=$P$8,"","")))))</f>
        <v/>
      </c>
      <c r="AH1124" s="201"/>
      <c r="AI1124" s="201"/>
      <c r="AJ1124" s="168" t="s">
        <v>112</v>
      </c>
      <c r="AK1124" s="382"/>
      <c r="AN1124" s="200"/>
      <c r="AR1124" s="596"/>
      <c r="AS1124" s="596"/>
      <c r="AT1124" s="596"/>
      <c r="AU1124" s="596"/>
      <c r="AV1124" s="596"/>
      <c r="AW1124" s="596"/>
      <c r="AX1124" s="596"/>
    </row>
    <row r="1125" spans="4:50" x14ac:dyDescent="0.3">
      <c r="D1125" s="244"/>
      <c r="E1125" s="230" t="s">
        <v>52</v>
      </c>
      <c r="F1125" s="9" t="s">
        <v>32</v>
      </c>
      <c r="G1125" s="9" t="s">
        <v>33</v>
      </c>
      <c r="H1125" s="9"/>
      <c r="I1125" s="9"/>
      <c r="J1125" s="9" t="s">
        <v>34</v>
      </c>
      <c r="K1125" s="9"/>
      <c r="L1125" s="9"/>
      <c r="M1125" s="257" t="s">
        <v>35</v>
      </c>
      <c r="N1125" s="202"/>
      <c r="O1125" s="9"/>
      <c r="P1125" s="198" t="s">
        <v>22</v>
      </c>
      <c r="Q1125" s="198"/>
      <c r="R1125" s="596"/>
      <c r="S1125" s="596"/>
      <c r="T1125" s="596"/>
      <c r="U1125" s="596"/>
      <c r="V1125" s="596"/>
      <c r="W1125" s="596"/>
      <c r="X1125" s="596"/>
      <c r="AD1125" s="244"/>
      <c r="AE1125" s="230" t="s">
        <v>52</v>
      </c>
      <c r="AF1125" s="9" t="s">
        <v>32</v>
      </c>
      <c r="AG1125" s="9" t="s">
        <v>33</v>
      </c>
      <c r="AH1125" s="9"/>
      <c r="AI1125" s="9"/>
      <c r="AJ1125" s="9" t="s">
        <v>34</v>
      </c>
      <c r="AK1125" s="9"/>
      <c r="AL1125" s="9"/>
      <c r="AM1125" s="257" t="s">
        <v>35</v>
      </c>
      <c r="AN1125" s="202"/>
      <c r="AO1125" s="9"/>
      <c r="AP1125" s="198" t="s">
        <v>22</v>
      </c>
      <c r="AQ1125" s="198"/>
      <c r="AR1125" s="596"/>
      <c r="AS1125" s="596"/>
      <c r="AT1125" s="596"/>
      <c r="AU1125" s="596"/>
      <c r="AV1125" s="596"/>
      <c r="AW1125" s="596"/>
      <c r="AX1125" s="596"/>
    </row>
    <row r="1126" spans="4:50" x14ac:dyDescent="0.3">
      <c r="D1126" s="244"/>
      <c r="E1126" s="355" t="str">
        <f>IF(OR(M1126="",M1126=0,J1126="",G1126=""),"",
(IF(AND(F1124=$P$4,M1126&lt;=$R$4),$V$4,0)+IF(AND(F1124=$P$5,M1126&lt;=$R$5),$V$5,0)+IF(AND(F1124=$P$6,M1126&lt;=$R$6),$V$6,0)+IF(AND(F1124=$P$7,M1126&lt;=$R$7),$V$7,0))
)</f>
        <v/>
      </c>
      <c r="F1126" s="153" t="s">
        <v>302</v>
      </c>
      <c r="G1126" s="616"/>
      <c r="H1126" s="617"/>
      <c r="I1126" s="618"/>
      <c r="J1126" s="616"/>
      <c r="K1126" s="617"/>
      <c r="L1126" s="618"/>
      <c r="M1126" s="255"/>
      <c r="N1126" s="256"/>
      <c r="O1126" s="388"/>
      <c r="P1126" s="185">
        <f t="shared" ref="P1126" si="1439">IF(F1124="",0,1)</f>
        <v>0</v>
      </c>
      <c r="R1126" s="185" t="str">
        <f t="shared" ref="R1126" si="1440">E1126</f>
        <v/>
      </c>
      <c r="S1126" s="185" t="str">
        <f t="shared" ref="S1126" si="1441">E1127</f>
        <v/>
      </c>
      <c r="T1126" s="185" t="str">
        <f t="shared" ref="T1126" si="1442">E1128</f>
        <v/>
      </c>
      <c r="U1126" s="185" t="str">
        <f t="shared" ref="U1126" si="1443">E1129</f>
        <v/>
      </c>
      <c r="V1126" s="185" t="str">
        <f t="shared" ref="V1126" si="1444">E1130</f>
        <v/>
      </c>
      <c r="W1126" s="185" t="str">
        <f t="shared" ref="W1126" si="1445">E1131</f>
        <v/>
      </c>
      <c r="X1126" s="185" t="str">
        <f t="shared" ref="X1126" si="1446">E1132</f>
        <v/>
      </c>
      <c r="AD1126" s="244"/>
      <c r="AE1126" s="355" t="str">
        <f>IF(OR(AM1126="",AM1126=0,AJ1126="",AG1126=""),"",
(IF(AND(AF1124=$P$4,AM1126&lt;=$R$4),$V$4,0)+IF(AND(AF1124=$P$5,AM1126&lt;=$R$5),$V$5,0)+IF(AND(AF1124=$P$6,AM1126&lt;=$R$6),$V$6,0)+IF(AND(AF1124=$P$7,AM1126&lt;=$R$7),$V$7,0))
)</f>
        <v/>
      </c>
      <c r="AF1126" s="153" t="s">
        <v>302</v>
      </c>
      <c r="AG1126" s="598"/>
      <c r="AH1126" s="599"/>
      <c r="AI1126" s="600"/>
      <c r="AJ1126" s="598"/>
      <c r="AK1126" s="599"/>
      <c r="AL1126" s="600"/>
      <c r="AM1126" s="384"/>
      <c r="AN1126" s="256"/>
      <c r="AO1126" s="388"/>
      <c r="AP1126" s="185">
        <f t="shared" ref="AP1126" si="1447">IF(AF1124="",0,1)</f>
        <v>0</v>
      </c>
      <c r="AR1126" s="185" t="str">
        <f t="shared" ref="AR1126" si="1448">AE1126</f>
        <v/>
      </c>
      <c r="AS1126" s="185" t="str">
        <f t="shared" ref="AS1126" si="1449">AE1127</f>
        <v/>
      </c>
      <c r="AT1126" s="185" t="str">
        <f t="shared" ref="AT1126" si="1450">AE1128</f>
        <v/>
      </c>
      <c r="AU1126" s="185" t="str">
        <f t="shared" ref="AU1126" si="1451">AE1129</f>
        <v/>
      </c>
      <c r="AV1126" s="185" t="str">
        <f t="shared" ref="AV1126" si="1452">AE1130</f>
        <v/>
      </c>
      <c r="AW1126" s="185" t="str">
        <f t="shared" ref="AW1126" si="1453">AE1131</f>
        <v/>
      </c>
      <c r="AX1126" s="185" t="str">
        <f t="shared" ref="AX1126" si="1454">AE1132</f>
        <v/>
      </c>
    </row>
    <row r="1127" spans="4:50" x14ac:dyDescent="0.3">
      <c r="D1127" s="244"/>
      <c r="E1127" s="341" t="str">
        <f>IF(OR(M1127="",M1127=0,J1127="",G1127=""),"",
(IF(AND(F1124=$P$4,M1127&lt;=$R$4),$V$4,0)+IF(AND(F1124=$P$5,M1127&lt;=$R$5),$V$5,0)+IF(AND(F1124=$P$6,M1127&lt;=$R$6),$V$6,0)+IF(AND(F1124=$P$7,M1127&lt;=$R$7),$V$7,0))
)</f>
        <v/>
      </c>
      <c r="F1127" s="153" t="s">
        <v>303</v>
      </c>
      <c r="G1127" s="616"/>
      <c r="H1127" s="617"/>
      <c r="I1127" s="618"/>
      <c r="J1127" s="616"/>
      <c r="K1127" s="617"/>
      <c r="L1127" s="618"/>
      <c r="M1127" s="255"/>
      <c r="N1127" s="256"/>
      <c r="O1127" s="388"/>
      <c r="AD1127" s="244"/>
      <c r="AE1127" s="341" t="str">
        <f>IF(OR(AM1127="",AM1127=0,AJ1127="",AG1127=""),"",
(IF(AND(AF1124=$P$4,AM1127&lt;=$R$4),$V$4,0)+IF(AND(AF1124=$P$5,AM1127&lt;=$R$5),$V$5,0)+IF(AND(AF1124=$P$6,AM1127&lt;=$R$6),$V$6,0)+IF(AND(AF1124=$P$7,AM1127&lt;=$R$7),$V$7,0))
)</f>
        <v/>
      </c>
      <c r="AF1127" s="153" t="s">
        <v>303</v>
      </c>
      <c r="AG1127" s="598"/>
      <c r="AH1127" s="599"/>
      <c r="AI1127" s="600"/>
      <c r="AJ1127" s="598"/>
      <c r="AK1127" s="599"/>
      <c r="AL1127" s="600"/>
      <c r="AM1127" s="384"/>
      <c r="AN1127" s="256"/>
      <c r="AO1127" s="388"/>
    </row>
    <row r="1128" spans="4:50" x14ac:dyDescent="0.3">
      <c r="D1128" s="244"/>
      <c r="E1128" s="341" t="str">
        <f>IF(OR(M1128="",M1128=0,J1128="",G1128=""),"",
(IF(AND(F1124=$P$4,M1128&lt;=$R$4),$V$4,0)+IF(AND(F1124=$P$5,M1128&lt;=$R$5),$V$5,0)+IF(AND(F1124=$P$6,M1128&lt;=$R$6),$V$6,0)+IF(AND(F1124=$P$7,M1128&lt;=$R$7),$V$7,0))
)</f>
        <v/>
      </c>
      <c r="F1128" s="153" t="s">
        <v>304</v>
      </c>
      <c r="G1128" s="616"/>
      <c r="H1128" s="617"/>
      <c r="I1128" s="618"/>
      <c r="J1128" s="616"/>
      <c r="K1128" s="617"/>
      <c r="L1128" s="618"/>
      <c r="M1128" s="255"/>
      <c r="N1128" s="256"/>
      <c r="O1128" s="388"/>
      <c r="AD1128" s="244"/>
      <c r="AE1128" s="341" t="str">
        <f>IF(OR(AM1128="",AM1128=0,AJ1128="",AG1128=""),"",
(IF(AND(AF1124=$P$4,AM1128&lt;=$R$4),$V$4,0)+IF(AND(AF1124=$P$5,AM1128&lt;=$R$5),$V$5,0)+IF(AND(AF1124=$P$6,AM1128&lt;=$R$6),$V$6,0)+IF(AND(AF1124=$P$7,AM1128&lt;=$R$7),$V$7,0))
)</f>
        <v/>
      </c>
      <c r="AF1128" s="153" t="s">
        <v>304</v>
      </c>
      <c r="AG1128" s="598"/>
      <c r="AH1128" s="599"/>
      <c r="AI1128" s="600"/>
      <c r="AJ1128" s="598"/>
      <c r="AK1128" s="599"/>
      <c r="AL1128" s="600"/>
      <c r="AM1128" s="384"/>
      <c r="AN1128" s="256"/>
      <c r="AO1128" s="388"/>
    </row>
    <row r="1129" spans="4:50" x14ac:dyDescent="0.3">
      <c r="D1129" s="244"/>
      <c r="E1129" s="341" t="str">
        <f>IF(OR(M1129="",M1129=0,J1129="",G1129=""),"",
(IF(AND(F1124=$P$4,M1129&lt;=$R$4),$V$4,0)+IF(AND(F1124=$P$5,M1129&lt;=$R$5),$V$5,0)+IF(AND(F1124=$P$6,M1129&lt;=$R$6),$V$6,0)+IF(AND(F1124=$P$7,M1129&lt;=$R$7),$V$7,0))
)</f>
        <v/>
      </c>
      <c r="F1129" s="153" t="s">
        <v>305</v>
      </c>
      <c r="G1129" s="616"/>
      <c r="H1129" s="617"/>
      <c r="I1129" s="618"/>
      <c r="J1129" s="616"/>
      <c r="K1129" s="617"/>
      <c r="L1129" s="618"/>
      <c r="M1129" s="255"/>
      <c r="N1129" s="256"/>
      <c r="O1129" s="388"/>
      <c r="AD1129" s="244"/>
      <c r="AE1129" s="341" t="str">
        <f>IF(OR(AM1129="",AM1129=0,AJ1129="",AG1129=""),"",
(IF(AND(AF1124=$P$4,AM1129&lt;=$R$4),$V$4,0)+IF(AND(AF1124=$P$5,AM1129&lt;=$R$5),$V$5,0)+IF(AND(AF1124=$P$6,AM1129&lt;=$R$6),$V$6,0)+IF(AND(AF1124=$P$7,AM1129&lt;=$R$7),$V$7,0))
)</f>
        <v/>
      </c>
      <c r="AF1129" s="153" t="s">
        <v>305</v>
      </c>
      <c r="AG1129" s="598"/>
      <c r="AH1129" s="599"/>
      <c r="AI1129" s="600"/>
      <c r="AJ1129" s="598"/>
      <c r="AK1129" s="599"/>
      <c r="AL1129" s="600"/>
      <c r="AM1129" s="384"/>
      <c r="AN1129" s="256"/>
      <c r="AO1129" s="388"/>
    </row>
    <row r="1130" spans="4:50" x14ac:dyDescent="0.3">
      <c r="D1130" s="244"/>
      <c r="E1130" s="341" t="str">
        <f>IF(OR(M1130="",M1130=0,J1130="",G1130=""),"",
(IF(AND(F1124=$P$4,M1130&lt;=$R$4),$V$4,0)+IF(AND(F1124=$P$5,M1130&lt;=$R$5),$V$5,0)+IF(AND(F1124=$P$6,M1130&lt;=$R$6),$V$6,0)+IF(AND(F1124=$P$7,M1130&lt;=$R$7),$V$7,0))
)</f>
        <v/>
      </c>
      <c r="F1130" s="153" t="s">
        <v>306</v>
      </c>
      <c r="G1130" s="616"/>
      <c r="H1130" s="617"/>
      <c r="I1130" s="618"/>
      <c r="J1130" s="616"/>
      <c r="K1130" s="617"/>
      <c r="L1130" s="618"/>
      <c r="M1130" s="255"/>
      <c r="N1130" s="256"/>
      <c r="O1130" s="388"/>
      <c r="AD1130" s="244"/>
      <c r="AE1130" s="341" t="str">
        <f>IF(OR(AM1130="",AM1130=0,AJ1130="",AG1130=""),"",
(IF(AND(AF1124=$P$4,AM1130&lt;=$R$4),$V$4,0)+IF(AND(AF1124=$P$5,AM1130&lt;=$R$5),$V$5,0)+IF(AND(AF1124=$P$6,AM1130&lt;=$R$6),$V$6,0)+IF(AND(AF1124=$P$7,AM1130&lt;=$R$7),$V$7,0))
)</f>
        <v/>
      </c>
      <c r="AF1130" s="153" t="s">
        <v>306</v>
      </c>
      <c r="AG1130" s="598"/>
      <c r="AH1130" s="599"/>
      <c r="AI1130" s="600"/>
      <c r="AJ1130" s="598"/>
      <c r="AK1130" s="599"/>
      <c r="AL1130" s="600"/>
      <c r="AM1130" s="384"/>
      <c r="AN1130" s="256"/>
      <c r="AO1130" s="388"/>
    </row>
    <row r="1131" spans="4:50" x14ac:dyDescent="0.3">
      <c r="D1131" s="244"/>
      <c r="E1131" s="341" t="str">
        <f>IF(OR(M1131="",M1131=0,J1131="",G1131=""),"",
(IF(AND(F1124=$P$4,M1131&lt;=$R$4),$V$4,0)+IF(AND(F1124=$P$5,M1131&lt;=$R$5),$V$5,0)+IF(AND(F1124=$P$6,M1131&lt;=$R$6),$V$6,0)+IF(AND(F1124=$P$7,M1131&lt;=$R$7),$V$7,0))
)</f>
        <v/>
      </c>
      <c r="F1131" s="153" t="s">
        <v>307</v>
      </c>
      <c r="G1131" s="616"/>
      <c r="H1131" s="617"/>
      <c r="I1131" s="618"/>
      <c r="J1131" s="616"/>
      <c r="K1131" s="617"/>
      <c r="L1131" s="618"/>
      <c r="M1131" s="255"/>
      <c r="N1131" s="256"/>
      <c r="O1131" s="388"/>
      <c r="AD1131" s="244"/>
      <c r="AE1131" s="341" t="str">
        <f>IF(OR(AM1131="",AM1131=0,AJ1131="",AG1131=""),"",
(IF(AND(AF1124=$P$4,AM1131&lt;=$R$4),$V$4,0)+IF(AND(AF1124=$P$5,AM1131&lt;=$R$5),$V$5,0)+IF(AND(AF1124=$P$6,AM1131&lt;=$R$6),$V$6,0)+IF(AND(AF1124=$P$7,AM1131&lt;=$R$7),$V$7,0))
)</f>
        <v/>
      </c>
      <c r="AF1131" s="153" t="s">
        <v>307</v>
      </c>
      <c r="AG1131" s="598"/>
      <c r="AH1131" s="599"/>
      <c r="AI1131" s="600"/>
      <c r="AJ1131" s="598"/>
      <c r="AK1131" s="599"/>
      <c r="AL1131" s="600"/>
      <c r="AM1131" s="384"/>
      <c r="AN1131" s="256"/>
      <c r="AO1131" s="388"/>
    </row>
    <row r="1132" spans="4:50" x14ac:dyDescent="0.3">
      <c r="D1132" s="244"/>
      <c r="E1132" s="341" t="str">
        <f>IF(OR(M1132="",M1132=0,J1132="",G1132=""),"",
(IF(AND(F1124=$P$4,M1132&lt;=$R$4),$V$4,0)+IF(AND(F1124=$P$5,M1132&lt;=$R$5),$V$5,0)+IF(AND(F1124=$P$6,M1132&lt;=$R$6),$V$6,0)+IF(AND(F1124=$P$7,M1132&lt;=$R$7),$V$7,0))
)</f>
        <v/>
      </c>
      <c r="F1132" s="153" t="s">
        <v>308</v>
      </c>
      <c r="G1132" s="616"/>
      <c r="H1132" s="617"/>
      <c r="I1132" s="618"/>
      <c r="J1132" s="616"/>
      <c r="K1132" s="617"/>
      <c r="L1132" s="618"/>
      <c r="M1132" s="255"/>
      <c r="N1132" s="256"/>
      <c r="O1132" s="388"/>
      <c r="AD1132" s="244"/>
      <c r="AE1132" s="341" t="str">
        <f>IF(OR(AM1132="",AM1132=0,AJ1132="",AG1132=""),"",
(IF(AND(AF1124=$P$4,AM1132&lt;=$R$4),$V$4,0)+IF(AND(AF1124=$P$5,AM1132&lt;=$R$5),$V$5,0)+IF(AND(AF1124=$P$6,AM1132&lt;=$R$6),$V$6,0)+IF(AND(AF1124=$P$7,AM1132&lt;=$R$7),$V$7,0))
)</f>
        <v/>
      </c>
      <c r="AF1132" s="153" t="s">
        <v>308</v>
      </c>
      <c r="AG1132" s="598"/>
      <c r="AH1132" s="599"/>
      <c r="AI1132" s="600"/>
      <c r="AJ1132" s="598"/>
      <c r="AK1132" s="599"/>
      <c r="AL1132" s="600"/>
      <c r="AM1132" s="384"/>
      <c r="AN1132" s="256"/>
      <c r="AO1132" s="388"/>
    </row>
    <row r="1133" spans="4:50" ht="16.2" thickBot="1" x14ac:dyDescent="0.35">
      <c r="D1133" s="203"/>
      <c r="E1133" s="3"/>
      <c r="F1133" s="3"/>
      <c r="G1133" s="3"/>
      <c r="H1133" s="3"/>
      <c r="I1133" s="3"/>
      <c r="J1133" s="3"/>
      <c r="K1133" s="3"/>
      <c r="L1133" s="3"/>
      <c r="M1133" s="3"/>
      <c r="N1133" s="204"/>
      <c r="P1133" s="2"/>
      <c r="AD1133" s="203"/>
      <c r="AE1133" s="3"/>
      <c r="AF1133" s="3"/>
      <c r="AG1133" s="3"/>
      <c r="AH1133" s="3"/>
      <c r="AI1133" s="3"/>
      <c r="AJ1133" s="3"/>
      <c r="AK1133" s="3"/>
      <c r="AL1133" s="3"/>
      <c r="AM1133" s="3"/>
      <c r="AN1133" s="204"/>
      <c r="AP1133" s="2"/>
    </row>
    <row r="1134" spans="4:50" x14ac:dyDescent="0.3">
      <c r="D1134" s="601" t="str">
        <f>IF(
OR(
OR(F1136=$P$4,F1136=$P$5,F1136=$P$6,F1136=$P$7),AND(G1138="",G1139="",G1140="",G1141="",G1142="",G1143="",G1144="",J1138="",J1139="",J1140="",J1141="",J1142="",J1143="",J1144="",M1138="",M1139="",M1140="",M1141="",M1142="",M1143="",M1144="",K1135="",K1136="")
),
"",
"A Set-Aside must be selected."
)</f>
        <v/>
      </c>
      <c r="E1134" s="602"/>
      <c r="F1134" s="602"/>
      <c r="G1134" s="602"/>
      <c r="H1134" s="602"/>
      <c r="I1134" s="602"/>
      <c r="J1134" s="602"/>
      <c r="K1134" s="602"/>
      <c r="L1134" s="602"/>
      <c r="M1134" s="602"/>
      <c r="N1134" s="603"/>
      <c r="O1134" s="2"/>
      <c r="AD1134" s="601" t="str">
        <f>IF(
OR(
OR(AF1136=$P$4,AF1136=$P$5,AF1136=$P$6,AF1136=$P$7),AND(AG1138="",AG1139="",AG1140="",AG1141="",AG1142="",AG1143="",AG1144="",AJ1138="",AJ1139="",AJ1140="",AJ1141="",AJ1142="",AJ1143="",AJ1144="",AM1138="",AM1139="",AM1140="",AM1141="",AM1142="",AM1143="",AM1144="",AK1135="",AK1136="")
),
"",
"A Set-Aside must be selected."
)</f>
        <v/>
      </c>
      <c r="AE1134" s="602"/>
      <c r="AF1134" s="602"/>
      <c r="AG1134" s="602"/>
      <c r="AH1134" s="602"/>
      <c r="AI1134" s="602"/>
      <c r="AJ1134" s="602"/>
      <c r="AK1134" s="602"/>
      <c r="AL1134" s="602"/>
      <c r="AM1134" s="602"/>
      <c r="AN1134" s="603"/>
      <c r="AO1134" s="2"/>
    </row>
    <row r="1135" spans="4:50" ht="15.75" customHeight="1" x14ac:dyDescent="0.3">
      <c r="D1135" s="199"/>
      <c r="E1135" s="9" t="s">
        <v>30</v>
      </c>
      <c r="F1135" s="86">
        <f>F1123+1</f>
        <v>92</v>
      </c>
      <c r="G1135" s="9" t="s">
        <v>175</v>
      </c>
      <c r="H1135" s="9"/>
      <c r="I1135" s="9"/>
      <c r="J1135" s="168" t="s">
        <v>111</v>
      </c>
      <c r="K1135" s="148"/>
      <c r="N1135" s="200"/>
      <c r="R1135" s="596" t="s">
        <v>302</v>
      </c>
      <c r="S1135" s="596" t="s">
        <v>303</v>
      </c>
      <c r="T1135" s="596" t="s">
        <v>304</v>
      </c>
      <c r="U1135" s="596" t="s">
        <v>305</v>
      </c>
      <c r="V1135" s="596" t="s">
        <v>306</v>
      </c>
      <c r="W1135" s="596" t="s">
        <v>307</v>
      </c>
      <c r="X1135" s="596" t="s">
        <v>308</v>
      </c>
      <c r="AD1135" s="199"/>
      <c r="AE1135" s="9" t="s">
        <v>30</v>
      </c>
      <c r="AF1135" s="86">
        <f>AF1123+1</f>
        <v>92</v>
      </c>
      <c r="AG1135" s="9" t="s">
        <v>175</v>
      </c>
      <c r="AH1135" s="9"/>
      <c r="AI1135" s="9"/>
      <c r="AJ1135" s="168" t="s">
        <v>111</v>
      </c>
      <c r="AK1135" s="382"/>
      <c r="AN1135" s="200"/>
      <c r="AR1135" s="596" t="s">
        <v>302</v>
      </c>
      <c r="AS1135" s="596" t="s">
        <v>303</v>
      </c>
      <c r="AT1135" s="596" t="s">
        <v>304</v>
      </c>
      <c r="AU1135" s="596" t="s">
        <v>305</v>
      </c>
      <c r="AV1135" s="596" t="s">
        <v>306</v>
      </c>
      <c r="AW1135" s="596" t="s">
        <v>307</v>
      </c>
      <c r="AX1135" s="596" t="s">
        <v>308</v>
      </c>
    </row>
    <row r="1136" spans="4:50" x14ac:dyDescent="0.3">
      <c r="D1136" s="604" t="s">
        <v>31</v>
      </c>
      <c r="E1136" s="594"/>
      <c r="F1136" s="151"/>
      <c r="G1136" s="86" t="str">
        <f>IF(F1136=$P$4,$Q$4,IF(F1136=$P$5,$Q$5,IF(F1136=$P$6,$Q$6,IF(F1136=$P$7,Q$7,IF(F1136=$P$8,"","")))))</f>
        <v/>
      </c>
      <c r="H1136" s="201"/>
      <c r="I1136" s="201"/>
      <c r="J1136" s="168" t="s">
        <v>112</v>
      </c>
      <c r="K1136" s="148"/>
      <c r="N1136" s="200"/>
      <c r="R1136" s="596"/>
      <c r="S1136" s="596"/>
      <c r="T1136" s="596"/>
      <c r="U1136" s="596"/>
      <c r="V1136" s="596"/>
      <c r="W1136" s="596"/>
      <c r="X1136" s="596"/>
      <c r="AD1136" s="604" t="s">
        <v>31</v>
      </c>
      <c r="AE1136" s="594"/>
      <c r="AF1136" s="383"/>
      <c r="AG1136" s="86" t="str">
        <f>IF(AF1136=$P$4,$Q$4,IF(AF1136=$P$5,$Q$5,IF(AF1136=$P$6,$Q$6,IF(AF1136=$P$7,AQ$7,IF(AF1136=$P$8,"","")))))</f>
        <v/>
      </c>
      <c r="AH1136" s="201"/>
      <c r="AI1136" s="201"/>
      <c r="AJ1136" s="168" t="s">
        <v>112</v>
      </c>
      <c r="AK1136" s="382"/>
      <c r="AN1136" s="200"/>
      <c r="AR1136" s="596"/>
      <c r="AS1136" s="596"/>
      <c r="AT1136" s="596"/>
      <c r="AU1136" s="596"/>
      <c r="AV1136" s="596"/>
      <c r="AW1136" s="596"/>
      <c r="AX1136" s="596"/>
    </row>
    <row r="1137" spans="4:50" x14ac:dyDescent="0.3">
      <c r="D1137" s="244"/>
      <c r="E1137" s="230" t="s">
        <v>52</v>
      </c>
      <c r="F1137" s="9" t="s">
        <v>32</v>
      </c>
      <c r="G1137" s="9" t="s">
        <v>33</v>
      </c>
      <c r="H1137" s="9"/>
      <c r="I1137" s="9"/>
      <c r="J1137" s="9" t="s">
        <v>34</v>
      </c>
      <c r="K1137" s="9"/>
      <c r="L1137" s="9"/>
      <c r="M1137" s="257" t="s">
        <v>35</v>
      </c>
      <c r="N1137" s="202"/>
      <c r="O1137" s="9"/>
      <c r="P1137" s="198" t="s">
        <v>22</v>
      </c>
      <c r="Q1137" s="198"/>
      <c r="R1137" s="596"/>
      <c r="S1137" s="596"/>
      <c r="T1137" s="596"/>
      <c r="U1137" s="596"/>
      <c r="V1137" s="596"/>
      <c r="W1137" s="596"/>
      <c r="X1137" s="596"/>
      <c r="AD1137" s="244"/>
      <c r="AE1137" s="230" t="s">
        <v>52</v>
      </c>
      <c r="AF1137" s="9" t="s">
        <v>32</v>
      </c>
      <c r="AG1137" s="9" t="s">
        <v>33</v>
      </c>
      <c r="AH1137" s="9"/>
      <c r="AI1137" s="9"/>
      <c r="AJ1137" s="9" t="s">
        <v>34</v>
      </c>
      <c r="AK1137" s="9"/>
      <c r="AL1137" s="9"/>
      <c r="AM1137" s="257" t="s">
        <v>35</v>
      </c>
      <c r="AN1137" s="202"/>
      <c r="AO1137" s="9"/>
      <c r="AP1137" s="198" t="s">
        <v>22</v>
      </c>
      <c r="AQ1137" s="198"/>
      <c r="AR1137" s="596"/>
      <c r="AS1137" s="596"/>
      <c r="AT1137" s="596"/>
      <c r="AU1137" s="596"/>
      <c r="AV1137" s="596"/>
      <c r="AW1137" s="596"/>
      <c r="AX1137" s="596"/>
    </row>
    <row r="1138" spans="4:50" x14ac:dyDescent="0.3">
      <c r="D1138" s="244"/>
      <c r="E1138" s="355" t="str">
        <f>IF(OR(M1138="",M1138=0,J1138="",G1138=""),"",
(IF(AND(F1136=$P$4,M1138&lt;=$R$4),$V$4,0)+IF(AND(F1136=$P$5,M1138&lt;=$R$5),$V$5,0)+IF(AND(F1136=$P$6,M1138&lt;=$R$6),$V$6,0)+IF(AND(F1136=$P$7,M1138&lt;=$R$7),$V$7,0))
)</f>
        <v/>
      </c>
      <c r="F1138" s="153" t="s">
        <v>302</v>
      </c>
      <c r="G1138" s="616"/>
      <c r="H1138" s="617"/>
      <c r="I1138" s="618"/>
      <c r="J1138" s="616"/>
      <c r="K1138" s="617"/>
      <c r="L1138" s="618"/>
      <c r="M1138" s="255"/>
      <c r="N1138" s="256"/>
      <c r="O1138" s="388"/>
      <c r="P1138" s="185">
        <f t="shared" ref="P1138" si="1455">IF(F1136="",0,1)</f>
        <v>0</v>
      </c>
      <c r="R1138" s="185" t="str">
        <f t="shared" ref="R1138" si="1456">E1138</f>
        <v/>
      </c>
      <c r="S1138" s="185" t="str">
        <f t="shared" ref="S1138" si="1457">E1139</f>
        <v/>
      </c>
      <c r="T1138" s="185" t="str">
        <f t="shared" ref="T1138" si="1458">E1140</f>
        <v/>
      </c>
      <c r="U1138" s="185" t="str">
        <f t="shared" ref="U1138" si="1459">E1141</f>
        <v/>
      </c>
      <c r="V1138" s="185" t="str">
        <f t="shared" ref="V1138" si="1460">E1142</f>
        <v/>
      </c>
      <c r="W1138" s="185" t="str">
        <f t="shared" ref="W1138" si="1461">E1143</f>
        <v/>
      </c>
      <c r="X1138" s="185" t="str">
        <f t="shared" ref="X1138" si="1462">E1144</f>
        <v/>
      </c>
      <c r="AD1138" s="244"/>
      <c r="AE1138" s="355" t="str">
        <f>IF(OR(AM1138="",AM1138=0,AJ1138="",AG1138=""),"",
(IF(AND(AF1136=$P$4,AM1138&lt;=$R$4),$V$4,0)+IF(AND(AF1136=$P$5,AM1138&lt;=$R$5),$V$5,0)+IF(AND(AF1136=$P$6,AM1138&lt;=$R$6),$V$6,0)+IF(AND(AF1136=$P$7,AM1138&lt;=$R$7),$V$7,0))
)</f>
        <v/>
      </c>
      <c r="AF1138" s="153" t="s">
        <v>302</v>
      </c>
      <c r="AG1138" s="598"/>
      <c r="AH1138" s="599"/>
      <c r="AI1138" s="600"/>
      <c r="AJ1138" s="598"/>
      <c r="AK1138" s="599"/>
      <c r="AL1138" s="600"/>
      <c r="AM1138" s="384"/>
      <c r="AN1138" s="256"/>
      <c r="AO1138" s="388"/>
      <c r="AP1138" s="185">
        <f t="shared" ref="AP1138" si="1463">IF(AF1136="",0,1)</f>
        <v>0</v>
      </c>
      <c r="AR1138" s="185" t="str">
        <f t="shared" ref="AR1138" si="1464">AE1138</f>
        <v/>
      </c>
      <c r="AS1138" s="185" t="str">
        <f t="shared" ref="AS1138" si="1465">AE1139</f>
        <v/>
      </c>
      <c r="AT1138" s="185" t="str">
        <f t="shared" ref="AT1138" si="1466">AE1140</f>
        <v/>
      </c>
      <c r="AU1138" s="185" t="str">
        <f t="shared" ref="AU1138" si="1467">AE1141</f>
        <v/>
      </c>
      <c r="AV1138" s="185" t="str">
        <f t="shared" ref="AV1138" si="1468">AE1142</f>
        <v/>
      </c>
      <c r="AW1138" s="185" t="str">
        <f t="shared" ref="AW1138" si="1469">AE1143</f>
        <v/>
      </c>
      <c r="AX1138" s="185" t="str">
        <f t="shared" ref="AX1138" si="1470">AE1144</f>
        <v/>
      </c>
    </row>
    <row r="1139" spans="4:50" x14ac:dyDescent="0.3">
      <c r="D1139" s="244"/>
      <c r="E1139" s="341" t="str">
        <f>IF(OR(M1139="",M1139=0,J1139="",G1139=""),"",
(IF(AND(F1136=$P$4,M1139&lt;=$R$4),$V$4,0)+IF(AND(F1136=$P$5,M1139&lt;=$R$5),$V$5,0)+IF(AND(F1136=$P$6,M1139&lt;=$R$6),$V$6,0)+IF(AND(F1136=$P$7,M1139&lt;=$R$7),$V$7,0))
)</f>
        <v/>
      </c>
      <c r="F1139" s="153" t="s">
        <v>303</v>
      </c>
      <c r="G1139" s="616"/>
      <c r="H1139" s="617"/>
      <c r="I1139" s="618"/>
      <c r="J1139" s="616"/>
      <c r="K1139" s="617"/>
      <c r="L1139" s="618"/>
      <c r="M1139" s="255"/>
      <c r="N1139" s="256"/>
      <c r="O1139" s="388"/>
      <c r="AD1139" s="244"/>
      <c r="AE1139" s="341" t="str">
        <f>IF(OR(AM1139="",AM1139=0,AJ1139="",AG1139=""),"",
(IF(AND(AF1136=$P$4,AM1139&lt;=$R$4),$V$4,0)+IF(AND(AF1136=$P$5,AM1139&lt;=$R$5),$V$5,0)+IF(AND(AF1136=$P$6,AM1139&lt;=$R$6),$V$6,0)+IF(AND(AF1136=$P$7,AM1139&lt;=$R$7),$V$7,0))
)</f>
        <v/>
      </c>
      <c r="AF1139" s="153" t="s">
        <v>303</v>
      </c>
      <c r="AG1139" s="598"/>
      <c r="AH1139" s="599"/>
      <c r="AI1139" s="600"/>
      <c r="AJ1139" s="598"/>
      <c r="AK1139" s="599"/>
      <c r="AL1139" s="600"/>
      <c r="AM1139" s="384"/>
      <c r="AN1139" s="256"/>
      <c r="AO1139" s="388"/>
    </row>
    <row r="1140" spans="4:50" x14ac:dyDescent="0.3">
      <c r="D1140" s="244"/>
      <c r="E1140" s="341" t="str">
        <f>IF(OR(M1140="",M1140=0,J1140="",G1140=""),"",
(IF(AND(F1136=$P$4,M1140&lt;=$R$4),$V$4,0)+IF(AND(F1136=$P$5,M1140&lt;=$R$5),$V$5,0)+IF(AND(F1136=$P$6,M1140&lt;=$R$6),$V$6,0)+IF(AND(F1136=$P$7,M1140&lt;=$R$7),$V$7,0))
)</f>
        <v/>
      </c>
      <c r="F1140" s="153" t="s">
        <v>304</v>
      </c>
      <c r="G1140" s="616"/>
      <c r="H1140" s="617"/>
      <c r="I1140" s="618"/>
      <c r="J1140" s="616"/>
      <c r="K1140" s="617"/>
      <c r="L1140" s="618"/>
      <c r="M1140" s="255"/>
      <c r="N1140" s="256"/>
      <c r="O1140" s="388"/>
      <c r="AD1140" s="244"/>
      <c r="AE1140" s="341" t="str">
        <f>IF(OR(AM1140="",AM1140=0,AJ1140="",AG1140=""),"",
(IF(AND(AF1136=$P$4,AM1140&lt;=$R$4),$V$4,0)+IF(AND(AF1136=$P$5,AM1140&lt;=$R$5),$V$5,0)+IF(AND(AF1136=$P$6,AM1140&lt;=$R$6),$V$6,0)+IF(AND(AF1136=$P$7,AM1140&lt;=$R$7),$V$7,0))
)</f>
        <v/>
      </c>
      <c r="AF1140" s="153" t="s">
        <v>304</v>
      </c>
      <c r="AG1140" s="598"/>
      <c r="AH1140" s="599"/>
      <c r="AI1140" s="600"/>
      <c r="AJ1140" s="598"/>
      <c r="AK1140" s="599"/>
      <c r="AL1140" s="600"/>
      <c r="AM1140" s="384"/>
      <c r="AN1140" s="256"/>
      <c r="AO1140" s="388"/>
    </row>
    <row r="1141" spans="4:50" x14ac:dyDescent="0.3">
      <c r="D1141" s="244"/>
      <c r="E1141" s="341" t="str">
        <f>IF(OR(M1141="",M1141=0,J1141="",G1141=""),"",
(IF(AND(F1136=$P$4,M1141&lt;=$R$4),$V$4,0)+IF(AND(F1136=$P$5,M1141&lt;=$R$5),$V$5,0)+IF(AND(F1136=$P$6,M1141&lt;=$R$6),$V$6,0)+IF(AND(F1136=$P$7,M1141&lt;=$R$7),$V$7,0))
)</f>
        <v/>
      </c>
      <c r="F1141" s="153" t="s">
        <v>305</v>
      </c>
      <c r="G1141" s="616"/>
      <c r="H1141" s="617"/>
      <c r="I1141" s="618"/>
      <c r="J1141" s="616"/>
      <c r="K1141" s="617"/>
      <c r="L1141" s="618"/>
      <c r="M1141" s="255"/>
      <c r="N1141" s="256"/>
      <c r="O1141" s="388"/>
      <c r="AD1141" s="244"/>
      <c r="AE1141" s="341" t="str">
        <f>IF(OR(AM1141="",AM1141=0,AJ1141="",AG1141=""),"",
(IF(AND(AF1136=$P$4,AM1141&lt;=$R$4),$V$4,0)+IF(AND(AF1136=$P$5,AM1141&lt;=$R$5),$V$5,0)+IF(AND(AF1136=$P$6,AM1141&lt;=$R$6),$V$6,0)+IF(AND(AF1136=$P$7,AM1141&lt;=$R$7),$V$7,0))
)</f>
        <v/>
      </c>
      <c r="AF1141" s="153" t="s">
        <v>305</v>
      </c>
      <c r="AG1141" s="598"/>
      <c r="AH1141" s="599"/>
      <c r="AI1141" s="600"/>
      <c r="AJ1141" s="598"/>
      <c r="AK1141" s="599"/>
      <c r="AL1141" s="600"/>
      <c r="AM1141" s="384"/>
      <c r="AN1141" s="256"/>
      <c r="AO1141" s="388"/>
    </row>
    <row r="1142" spans="4:50" x14ac:dyDescent="0.3">
      <c r="D1142" s="244"/>
      <c r="E1142" s="341" t="str">
        <f>IF(OR(M1142="",M1142=0,J1142="",G1142=""),"",
(IF(AND(F1136=$P$4,M1142&lt;=$R$4),$V$4,0)+IF(AND(F1136=$P$5,M1142&lt;=$R$5),$V$5,0)+IF(AND(F1136=$P$6,M1142&lt;=$R$6),$V$6,0)+IF(AND(F1136=$P$7,M1142&lt;=$R$7),$V$7,0))
)</f>
        <v/>
      </c>
      <c r="F1142" s="153" t="s">
        <v>306</v>
      </c>
      <c r="G1142" s="616"/>
      <c r="H1142" s="617"/>
      <c r="I1142" s="618"/>
      <c r="J1142" s="616"/>
      <c r="K1142" s="617"/>
      <c r="L1142" s="618"/>
      <c r="M1142" s="255"/>
      <c r="N1142" s="256"/>
      <c r="O1142" s="388"/>
      <c r="AD1142" s="244"/>
      <c r="AE1142" s="341" t="str">
        <f>IF(OR(AM1142="",AM1142=0,AJ1142="",AG1142=""),"",
(IF(AND(AF1136=$P$4,AM1142&lt;=$R$4),$V$4,0)+IF(AND(AF1136=$P$5,AM1142&lt;=$R$5),$V$5,0)+IF(AND(AF1136=$P$6,AM1142&lt;=$R$6),$V$6,0)+IF(AND(AF1136=$P$7,AM1142&lt;=$R$7),$V$7,0))
)</f>
        <v/>
      </c>
      <c r="AF1142" s="153" t="s">
        <v>306</v>
      </c>
      <c r="AG1142" s="598"/>
      <c r="AH1142" s="599"/>
      <c r="AI1142" s="600"/>
      <c r="AJ1142" s="598"/>
      <c r="AK1142" s="599"/>
      <c r="AL1142" s="600"/>
      <c r="AM1142" s="384"/>
      <c r="AN1142" s="256"/>
      <c r="AO1142" s="388"/>
    </row>
    <row r="1143" spans="4:50" x14ac:dyDescent="0.3">
      <c r="D1143" s="244"/>
      <c r="E1143" s="341" t="str">
        <f>IF(OR(M1143="",M1143=0,J1143="",G1143=""),"",
(IF(AND(F1136=$P$4,M1143&lt;=$R$4),$V$4,0)+IF(AND(F1136=$P$5,M1143&lt;=$R$5),$V$5,0)+IF(AND(F1136=$P$6,M1143&lt;=$R$6),$V$6,0)+IF(AND(F1136=$P$7,M1143&lt;=$R$7),$V$7,0))
)</f>
        <v/>
      </c>
      <c r="F1143" s="153" t="s">
        <v>307</v>
      </c>
      <c r="G1143" s="616"/>
      <c r="H1143" s="617"/>
      <c r="I1143" s="618"/>
      <c r="J1143" s="616"/>
      <c r="K1143" s="617"/>
      <c r="L1143" s="618"/>
      <c r="M1143" s="255"/>
      <c r="N1143" s="256"/>
      <c r="O1143" s="388"/>
      <c r="AD1143" s="244"/>
      <c r="AE1143" s="341" t="str">
        <f>IF(OR(AM1143="",AM1143=0,AJ1143="",AG1143=""),"",
(IF(AND(AF1136=$P$4,AM1143&lt;=$R$4),$V$4,0)+IF(AND(AF1136=$P$5,AM1143&lt;=$R$5),$V$5,0)+IF(AND(AF1136=$P$6,AM1143&lt;=$R$6),$V$6,0)+IF(AND(AF1136=$P$7,AM1143&lt;=$R$7),$V$7,0))
)</f>
        <v/>
      </c>
      <c r="AF1143" s="153" t="s">
        <v>307</v>
      </c>
      <c r="AG1143" s="598"/>
      <c r="AH1143" s="599"/>
      <c r="AI1143" s="600"/>
      <c r="AJ1143" s="598"/>
      <c r="AK1143" s="599"/>
      <c r="AL1143" s="600"/>
      <c r="AM1143" s="384"/>
      <c r="AN1143" s="256"/>
      <c r="AO1143" s="388"/>
    </row>
    <row r="1144" spans="4:50" x14ac:dyDescent="0.3">
      <c r="D1144" s="244"/>
      <c r="E1144" s="341" t="str">
        <f>IF(OR(M1144="",M1144=0,J1144="",G1144=""),"",
(IF(AND(F1136=$P$4,M1144&lt;=$R$4),$V$4,0)+IF(AND(F1136=$P$5,M1144&lt;=$R$5),$V$5,0)+IF(AND(F1136=$P$6,M1144&lt;=$R$6),$V$6,0)+IF(AND(F1136=$P$7,M1144&lt;=$R$7),$V$7,0))
)</f>
        <v/>
      </c>
      <c r="F1144" s="153" t="s">
        <v>308</v>
      </c>
      <c r="G1144" s="616"/>
      <c r="H1144" s="617"/>
      <c r="I1144" s="618"/>
      <c r="J1144" s="616"/>
      <c r="K1144" s="617"/>
      <c r="L1144" s="618"/>
      <c r="M1144" s="255"/>
      <c r="N1144" s="256"/>
      <c r="O1144" s="388"/>
      <c r="AD1144" s="244"/>
      <c r="AE1144" s="341" t="str">
        <f>IF(OR(AM1144="",AM1144=0,AJ1144="",AG1144=""),"",
(IF(AND(AF1136=$P$4,AM1144&lt;=$R$4),$V$4,0)+IF(AND(AF1136=$P$5,AM1144&lt;=$R$5),$V$5,0)+IF(AND(AF1136=$P$6,AM1144&lt;=$R$6),$V$6,0)+IF(AND(AF1136=$P$7,AM1144&lt;=$R$7),$V$7,0))
)</f>
        <v/>
      </c>
      <c r="AF1144" s="153" t="s">
        <v>308</v>
      </c>
      <c r="AG1144" s="598"/>
      <c r="AH1144" s="599"/>
      <c r="AI1144" s="600"/>
      <c r="AJ1144" s="598"/>
      <c r="AK1144" s="599"/>
      <c r="AL1144" s="600"/>
      <c r="AM1144" s="384"/>
      <c r="AN1144" s="256"/>
      <c r="AO1144" s="388"/>
    </row>
    <row r="1145" spans="4:50" ht="16.2" thickBot="1" x14ac:dyDescent="0.35">
      <c r="D1145" s="203"/>
      <c r="E1145" s="3"/>
      <c r="F1145" s="3"/>
      <c r="G1145" s="3"/>
      <c r="H1145" s="3"/>
      <c r="I1145" s="3"/>
      <c r="J1145" s="3"/>
      <c r="K1145" s="3"/>
      <c r="L1145" s="3"/>
      <c r="M1145" s="3"/>
      <c r="N1145" s="204"/>
      <c r="P1145" s="2"/>
      <c r="AD1145" s="203"/>
      <c r="AE1145" s="3"/>
      <c r="AF1145" s="3"/>
      <c r="AG1145" s="3"/>
      <c r="AH1145" s="3"/>
      <c r="AI1145" s="3"/>
      <c r="AJ1145" s="3"/>
      <c r="AK1145" s="3"/>
      <c r="AL1145" s="3"/>
      <c r="AM1145" s="3"/>
      <c r="AN1145" s="204"/>
      <c r="AP1145" s="2"/>
    </row>
    <row r="1146" spans="4:50" x14ac:dyDescent="0.3">
      <c r="D1146" s="601" t="str">
        <f>IF(
OR(
OR(F1148=$P$4,F1148=$P$5,F1148=$P$6,F1148=$P$7),AND(G1150="",G1151="",G1152="",G1153="",G1154="",G1155="",G1156="",J1150="",J1151="",J1152="",J1153="",J1154="",J1155="",J1156="",M1150="",M1151="",M1152="",M1153="",M1154="",M1155="",M1156="",K1147="",K1148="")
),
"",
"A Set-Aside must be selected."
)</f>
        <v/>
      </c>
      <c r="E1146" s="602"/>
      <c r="F1146" s="602"/>
      <c r="G1146" s="602"/>
      <c r="H1146" s="602"/>
      <c r="I1146" s="602"/>
      <c r="J1146" s="602"/>
      <c r="K1146" s="602"/>
      <c r="L1146" s="602"/>
      <c r="M1146" s="602"/>
      <c r="N1146" s="603"/>
      <c r="O1146" s="2"/>
      <c r="AD1146" s="601" t="str">
        <f>IF(
OR(
OR(AF1148=$P$4,AF1148=$P$5,AF1148=$P$6,AF1148=$P$7),AND(AG1150="",AG1151="",AG1152="",AG1153="",AG1154="",AG1155="",AG1156="",AJ1150="",AJ1151="",AJ1152="",AJ1153="",AJ1154="",AJ1155="",AJ1156="",AM1150="",AM1151="",AM1152="",AM1153="",AM1154="",AM1155="",AM1156="",AK1147="",AK1148="")
),
"",
"A Set-Aside must be selected."
)</f>
        <v/>
      </c>
      <c r="AE1146" s="602"/>
      <c r="AF1146" s="602"/>
      <c r="AG1146" s="602"/>
      <c r="AH1146" s="602"/>
      <c r="AI1146" s="602"/>
      <c r="AJ1146" s="602"/>
      <c r="AK1146" s="602"/>
      <c r="AL1146" s="602"/>
      <c r="AM1146" s="602"/>
      <c r="AN1146" s="603"/>
      <c r="AO1146" s="2"/>
    </row>
    <row r="1147" spans="4:50" ht="15.75" customHeight="1" x14ac:dyDescent="0.3">
      <c r="D1147" s="199"/>
      <c r="E1147" s="9" t="s">
        <v>30</v>
      </c>
      <c r="F1147" s="86">
        <f>F1135+1</f>
        <v>93</v>
      </c>
      <c r="G1147" s="9" t="s">
        <v>175</v>
      </c>
      <c r="H1147" s="9"/>
      <c r="I1147" s="9"/>
      <c r="J1147" s="168" t="s">
        <v>111</v>
      </c>
      <c r="K1147" s="148"/>
      <c r="N1147" s="200"/>
      <c r="R1147" s="596" t="s">
        <v>302</v>
      </c>
      <c r="S1147" s="596" t="s">
        <v>303</v>
      </c>
      <c r="T1147" s="596" t="s">
        <v>304</v>
      </c>
      <c r="U1147" s="596" t="s">
        <v>305</v>
      </c>
      <c r="V1147" s="596" t="s">
        <v>306</v>
      </c>
      <c r="W1147" s="596" t="s">
        <v>307</v>
      </c>
      <c r="X1147" s="596" t="s">
        <v>308</v>
      </c>
      <c r="AD1147" s="199"/>
      <c r="AE1147" s="9" t="s">
        <v>30</v>
      </c>
      <c r="AF1147" s="86">
        <f>AF1135+1</f>
        <v>93</v>
      </c>
      <c r="AG1147" s="9" t="s">
        <v>175</v>
      </c>
      <c r="AH1147" s="9"/>
      <c r="AI1147" s="9"/>
      <c r="AJ1147" s="168" t="s">
        <v>111</v>
      </c>
      <c r="AK1147" s="382"/>
      <c r="AN1147" s="200"/>
      <c r="AR1147" s="596" t="s">
        <v>302</v>
      </c>
      <c r="AS1147" s="596" t="s">
        <v>303</v>
      </c>
      <c r="AT1147" s="596" t="s">
        <v>304</v>
      </c>
      <c r="AU1147" s="596" t="s">
        <v>305</v>
      </c>
      <c r="AV1147" s="596" t="s">
        <v>306</v>
      </c>
      <c r="AW1147" s="596" t="s">
        <v>307</v>
      </c>
      <c r="AX1147" s="596" t="s">
        <v>308</v>
      </c>
    </row>
    <row r="1148" spans="4:50" x14ac:dyDescent="0.3">
      <c r="D1148" s="604" t="s">
        <v>31</v>
      </c>
      <c r="E1148" s="594"/>
      <c r="F1148" s="151"/>
      <c r="G1148" s="86" t="str">
        <f>IF(F1148=$P$4,$Q$4,IF(F1148=$P$5,$Q$5,IF(F1148=$P$6,$Q$6,IF(F1148=$P$7,Q$7,IF(F1148=$P$8,"","")))))</f>
        <v/>
      </c>
      <c r="H1148" s="201"/>
      <c r="I1148" s="201"/>
      <c r="J1148" s="168" t="s">
        <v>112</v>
      </c>
      <c r="K1148" s="148"/>
      <c r="N1148" s="200"/>
      <c r="R1148" s="596"/>
      <c r="S1148" s="596"/>
      <c r="T1148" s="596"/>
      <c r="U1148" s="596"/>
      <c r="V1148" s="596"/>
      <c r="W1148" s="596"/>
      <c r="X1148" s="596"/>
      <c r="AD1148" s="604" t="s">
        <v>31</v>
      </c>
      <c r="AE1148" s="594"/>
      <c r="AF1148" s="383"/>
      <c r="AG1148" s="86" t="str">
        <f>IF(AF1148=$P$4,$Q$4,IF(AF1148=$P$5,$Q$5,IF(AF1148=$P$6,$Q$6,IF(AF1148=$P$7,AQ$7,IF(AF1148=$P$8,"","")))))</f>
        <v/>
      </c>
      <c r="AH1148" s="201"/>
      <c r="AI1148" s="201"/>
      <c r="AJ1148" s="168" t="s">
        <v>112</v>
      </c>
      <c r="AK1148" s="382"/>
      <c r="AN1148" s="200"/>
      <c r="AR1148" s="596"/>
      <c r="AS1148" s="596"/>
      <c r="AT1148" s="596"/>
      <c r="AU1148" s="596"/>
      <c r="AV1148" s="596"/>
      <c r="AW1148" s="596"/>
      <c r="AX1148" s="596"/>
    </row>
    <row r="1149" spans="4:50" x14ac:dyDescent="0.3">
      <c r="D1149" s="244"/>
      <c r="E1149" s="230" t="s">
        <v>52</v>
      </c>
      <c r="F1149" s="9" t="s">
        <v>32</v>
      </c>
      <c r="G1149" s="9" t="s">
        <v>33</v>
      </c>
      <c r="H1149" s="9"/>
      <c r="I1149" s="9"/>
      <c r="J1149" s="9" t="s">
        <v>34</v>
      </c>
      <c r="K1149" s="9"/>
      <c r="L1149" s="9"/>
      <c r="M1149" s="257" t="s">
        <v>35</v>
      </c>
      <c r="N1149" s="202"/>
      <c r="O1149" s="9"/>
      <c r="P1149" s="198" t="s">
        <v>22</v>
      </c>
      <c r="Q1149" s="198"/>
      <c r="R1149" s="596"/>
      <c r="S1149" s="596"/>
      <c r="T1149" s="596"/>
      <c r="U1149" s="596"/>
      <c r="V1149" s="596"/>
      <c r="W1149" s="596"/>
      <c r="X1149" s="596"/>
      <c r="AD1149" s="244"/>
      <c r="AE1149" s="230" t="s">
        <v>52</v>
      </c>
      <c r="AF1149" s="9" t="s">
        <v>32</v>
      </c>
      <c r="AG1149" s="9" t="s">
        <v>33</v>
      </c>
      <c r="AH1149" s="9"/>
      <c r="AI1149" s="9"/>
      <c r="AJ1149" s="9" t="s">
        <v>34</v>
      </c>
      <c r="AK1149" s="9"/>
      <c r="AL1149" s="9"/>
      <c r="AM1149" s="257" t="s">
        <v>35</v>
      </c>
      <c r="AN1149" s="202"/>
      <c r="AO1149" s="9"/>
      <c r="AP1149" s="198" t="s">
        <v>22</v>
      </c>
      <c r="AQ1149" s="198"/>
      <c r="AR1149" s="596"/>
      <c r="AS1149" s="596"/>
      <c r="AT1149" s="596"/>
      <c r="AU1149" s="596"/>
      <c r="AV1149" s="596"/>
      <c r="AW1149" s="596"/>
      <c r="AX1149" s="596"/>
    </row>
    <row r="1150" spans="4:50" x14ac:dyDescent="0.3">
      <c r="D1150" s="244"/>
      <c r="E1150" s="355" t="str">
        <f>IF(OR(M1150="",M1150=0,J1150="",G1150=""),"",
(IF(AND(F1148=$P$4,M1150&lt;=$R$4),$V$4,0)+IF(AND(F1148=$P$5,M1150&lt;=$R$5),$V$5,0)+IF(AND(F1148=$P$6,M1150&lt;=$R$6),$V$6,0)+IF(AND(F1148=$P$7,M1150&lt;=$R$7),$V$7,0))
)</f>
        <v/>
      </c>
      <c r="F1150" s="153" t="s">
        <v>302</v>
      </c>
      <c r="G1150" s="616"/>
      <c r="H1150" s="617"/>
      <c r="I1150" s="618"/>
      <c r="J1150" s="616"/>
      <c r="K1150" s="617"/>
      <c r="L1150" s="618"/>
      <c r="M1150" s="255"/>
      <c r="N1150" s="256"/>
      <c r="O1150" s="388"/>
      <c r="P1150" s="185">
        <f t="shared" ref="P1150" si="1471">IF(F1148="",0,1)</f>
        <v>0</v>
      </c>
      <c r="R1150" s="185" t="str">
        <f t="shared" ref="R1150" si="1472">E1150</f>
        <v/>
      </c>
      <c r="S1150" s="185" t="str">
        <f t="shared" ref="S1150" si="1473">E1151</f>
        <v/>
      </c>
      <c r="T1150" s="185" t="str">
        <f t="shared" ref="T1150" si="1474">E1152</f>
        <v/>
      </c>
      <c r="U1150" s="185" t="str">
        <f t="shared" ref="U1150" si="1475">E1153</f>
        <v/>
      </c>
      <c r="V1150" s="185" t="str">
        <f t="shared" ref="V1150" si="1476">E1154</f>
        <v/>
      </c>
      <c r="W1150" s="185" t="str">
        <f t="shared" ref="W1150" si="1477">E1155</f>
        <v/>
      </c>
      <c r="X1150" s="185" t="str">
        <f t="shared" ref="X1150" si="1478">E1156</f>
        <v/>
      </c>
      <c r="AD1150" s="244"/>
      <c r="AE1150" s="355" t="str">
        <f>IF(OR(AM1150="",AM1150=0,AJ1150="",AG1150=""),"",
(IF(AND(AF1148=$P$4,AM1150&lt;=$R$4),$V$4,0)+IF(AND(AF1148=$P$5,AM1150&lt;=$R$5),$V$5,0)+IF(AND(AF1148=$P$6,AM1150&lt;=$R$6),$V$6,0)+IF(AND(AF1148=$P$7,AM1150&lt;=$R$7),$V$7,0))
)</f>
        <v/>
      </c>
      <c r="AF1150" s="153" t="s">
        <v>302</v>
      </c>
      <c r="AG1150" s="598"/>
      <c r="AH1150" s="599"/>
      <c r="AI1150" s="600"/>
      <c r="AJ1150" s="598"/>
      <c r="AK1150" s="599"/>
      <c r="AL1150" s="600"/>
      <c r="AM1150" s="384"/>
      <c r="AN1150" s="256"/>
      <c r="AO1150" s="388"/>
      <c r="AP1150" s="185">
        <f t="shared" ref="AP1150" si="1479">IF(AF1148="",0,1)</f>
        <v>0</v>
      </c>
      <c r="AR1150" s="185" t="str">
        <f t="shared" ref="AR1150" si="1480">AE1150</f>
        <v/>
      </c>
      <c r="AS1150" s="185" t="str">
        <f t="shared" ref="AS1150" si="1481">AE1151</f>
        <v/>
      </c>
      <c r="AT1150" s="185" t="str">
        <f t="shared" ref="AT1150" si="1482">AE1152</f>
        <v/>
      </c>
      <c r="AU1150" s="185" t="str">
        <f t="shared" ref="AU1150" si="1483">AE1153</f>
        <v/>
      </c>
      <c r="AV1150" s="185" t="str">
        <f t="shared" ref="AV1150" si="1484">AE1154</f>
        <v/>
      </c>
      <c r="AW1150" s="185" t="str">
        <f t="shared" ref="AW1150" si="1485">AE1155</f>
        <v/>
      </c>
      <c r="AX1150" s="185" t="str">
        <f t="shared" ref="AX1150" si="1486">AE1156</f>
        <v/>
      </c>
    </row>
    <row r="1151" spans="4:50" x14ac:dyDescent="0.3">
      <c r="D1151" s="244"/>
      <c r="E1151" s="341" t="str">
        <f>IF(OR(M1151="",M1151=0,J1151="",G1151=""),"",
(IF(AND(F1148=$P$4,M1151&lt;=$R$4),$V$4,0)+IF(AND(F1148=$P$5,M1151&lt;=$R$5),$V$5,0)+IF(AND(F1148=$P$6,M1151&lt;=$R$6),$V$6,0)+IF(AND(F1148=$P$7,M1151&lt;=$R$7),$V$7,0))
)</f>
        <v/>
      </c>
      <c r="F1151" s="153" t="s">
        <v>303</v>
      </c>
      <c r="G1151" s="616"/>
      <c r="H1151" s="617"/>
      <c r="I1151" s="618"/>
      <c r="J1151" s="616"/>
      <c r="K1151" s="617"/>
      <c r="L1151" s="618"/>
      <c r="M1151" s="255"/>
      <c r="N1151" s="256"/>
      <c r="O1151" s="388"/>
      <c r="AD1151" s="244"/>
      <c r="AE1151" s="341" t="str">
        <f>IF(OR(AM1151="",AM1151=0,AJ1151="",AG1151=""),"",
(IF(AND(AF1148=$P$4,AM1151&lt;=$R$4),$V$4,0)+IF(AND(AF1148=$P$5,AM1151&lt;=$R$5),$V$5,0)+IF(AND(AF1148=$P$6,AM1151&lt;=$R$6),$V$6,0)+IF(AND(AF1148=$P$7,AM1151&lt;=$R$7),$V$7,0))
)</f>
        <v/>
      </c>
      <c r="AF1151" s="153" t="s">
        <v>303</v>
      </c>
      <c r="AG1151" s="598"/>
      <c r="AH1151" s="599"/>
      <c r="AI1151" s="600"/>
      <c r="AJ1151" s="598"/>
      <c r="AK1151" s="599"/>
      <c r="AL1151" s="600"/>
      <c r="AM1151" s="384"/>
      <c r="AN1151" s="256"/>
      <c r="AO1151" s="388"/>
    </row>
    <row r="1152" spans="4:50" x14ac:dyDescent="0.3">
      <c r="D1152" s="244"/>
      <c r="E1152" s="341" t="str">
        <f>IF(OR(M1152="",M1152=0,J1152="",G1152=""),"",
(IF(AND(F1148=$P$4,M1152&lt;=$R$4),$V$4,0)+IF(AND(F1148=$P$5,M1152&lt;=$R$5),$V$5,0)+IF(AND(F1148=$P$6,M1152&lt;=$R$6),$V$6,0)+IF(AND(F1148=$P$7,M1152&lt;=$R$7),$V$7,0))
)</f>
        <v/>
      </c>
      <c r="F1152" s="153" t="s">
        <v>304</v>
      </c>
      <c r="G1152" s="616"/>
      <c r="H1152" s="617"/>
      <c r="I1152" s="618"/>
      <c r="J1152" s="616"/>
      <c r="K1152" s="617"/>
      <c r="L1152" s="618"/>
      <c r="M1152" s="255"/>
      <c r="N1152" s="256"/>
      <c r="O1152" s="388"/>
      <c r="AD1152" s="244"/>
      <c r="AE1152" s="341" t="str">
        <f>IF(OR(AM1152="",AM1152=0,AJ1152="",AG1152=""),"",
(IF(AND(AF1148=$P$4,AM1152&lt;=$R$4),$V$4,0)+IF(AND(AF1148=$P$5,AM1152&lt;=$R$5),$V$5,0)+IF(AND(AF1148=$P$6,AM1152&lt;=$R$6),$V$6,0)+IF(AND(AF1148=$P$7,AM1152&lt;=$R$7),$V$7,0))
)</f>
        <v/>
      </c>
      <c r="AF1152" s="153" t="s">
        <v>304</v>
      </c>
      <c r="AG1152" s="598"/>
      <c r="AH1152" s="599"/>
      <c r="AI1152" s="600"/>
      <c r="AJ1152" s="598"/>
      <c r="AK1152" s="599"/>
      <c r="AL1152" s="600"/>
      <c r="AM1152" s="384"/>
      <c r="AN1152" s="256"/>
      <c r="AO1152" s="388"/>
    </row>
    <row r="1153" spans="4:50" x14ac:dyDescent="0.3">
      <c r="D1153" s="244"/>
      <c r="E1153" s="341" t="str">
        <f>IF(OR(M1153="",M1153=0,J1153="",G1153=""),"",
(IF(AND(F1148=$P$4,M1153&lt;=$R$4),$V$4,0)+IF(AND(F1148=$P$5,M1153&lt;=$R$5),$V$5,0)+IF(AND(F1148=$P$6,M1153&lt;=$R$6),$V$6,0)+IF(AND(F1148=$P$7,M1153&lt;=$R$7),$V$7,0))
)</f>
        <v/>
      </c>
      <c r="F1153" s="153" t="s">
        <v>305</v>
      </c>
      <c r="G1153" s="616"/>
      <c r="H1153" s="617"/>
      <c r="I1153" s="618"/>
      <c r="J1153" s="616"/>
      <c r="K1153" s="617"/>
      <c r="L1153" s="618"/>
      <c r="M1153" s="255"/>
      <c r="N1153" s="256"/>
      <c r="O1153" s="388"/>
      <c r="AD1153" s="244"/>
      <c r="AE1153" s="341" t="str">
        <f>IF(OR(AM1153="",AM1153=0,AJ1153="",AG1153=""),"",
(IF(AND(AF1148=$P$4,AM1153&lt;=$R$4),$V$4,0)+IF(AND(AF1148=$P$5,AM1153&lt;=$R$5),$V$5,0)+IF(AND(AF1148=$P$6,AM1153&lt;=$R$6),$V$6,0)+IF(AND(AF1148=$P$7,AM1153&lt;=$R$7),$V$7,0))
)</f>
        <v/>
      </c>
      <c r="AF1153" s="153" t="s">
        <v>305</v>
      </c>
      <c r="AG1153" s="598"/>
      <c r="AH1153" s="599"/>
      <c r="AI1153" s="600"/>
      <c r="AJ1153" s="598"/>
      <c r="AK1153" s="599"/>
      <c r="AL1153" s="600"/>
      <c r="AM1153" s="384"/>
      <c r="AN1153" s="256"/>
      <c r="AO1153" s="388"/>
    </row>
    <row r="1154" spans="4:50" x14ac:dyDescent="0.3">
      <c r="D1154" s="244"/>
      <c r="E1154" s="341" t="str">
        <f>IF(OR(M1154="",M1154=0,J1154="",G1154=""),"",
(IF(AND(F1148=$P$4,M1154&lt;=$R$4),$V$4,0)+IF(AND(F1148=$P$5,M1154&lt;=$R$5),$V$5,0)+IF(AND(F1148=$P$6,M1154&lt;=$R$6),$V$6,0)+IF(AND(F1148=$P$7,M1154&lt;=$R$7),$V$7,0))
)</f>
        <v/>
      </c>
      <c r="F1154" s="153" t="s">
        <v>306</v>
      </c>
      <c r="G1154" s="616"/>
      <c r="H1154" s="617"/>
      <c r="I1154" s="618"/>
      <c r="J1154" s="616"/>
      <c r="K1154" s="617"/>
      <c r="L1154" s="618"/>
      <c r="M1154" s="255"/>
      <c r="N1154" s="256"/>
      <c r="O1154" s="388"/>
      <c r="AD1154" s="244"/>
      <c r="AE1154" s="341" t="str">
        <f>IF(OR(AM1154="",AM1154=0,AJ1154="",AG1154=""),"",
(IF(AND(AF1148=$P$4,AM1154&lt;=$R$4),$V$4,0)+IF(AND(AF1148=$P$5,AM1154&lt;=$R$5),$V$5,0)+IF(AND(AF1148=$P$6,AM1154&lt;=$R$6),$V$6,0)+IF(AND(AF1148=$P$7,AM1154&lt;=$R$7),$V$7,0))
)</f>
        <v/>
      </c>
      <c r="AF1154" s="153" t="s">
        <v>306</v>
      </c>
      <c r="AG1154" s="598"/>
      <c r="AH1154" s="599"/>
      <c r="AI1154" s="600"/>
      <c r="AJ1154" s="598"/>
      <c r="AK1154" s="599"/>
      <c r="AL1154" s="600"/>
      <c r="AM1154" s="384"/>
      <c r="AN1154" s="256"/>
      <c r="AO1154" s="388"/>
    </row>
    <row r="1155" spans="4:50" x14ac:dyDescent="0.3">
      <c r="D1155" s="244"/>
      <c r="E1155" s="341" t="str">
        <f>IF(OR(M1155="",M1155=0,J1155="",G1155=""),"",
(IF(AND(F1148=$P$4,M1155&lt;=$R$4),$V$4,0)+IF(AND(F1148=$P$5,M1155&lt;=$R$5),$V$5,0)+IF(AND(F1148=$P$6,M1155&lt;=$R$6),$V$6,0)+IF(AND(F1148=$P$7,M1155&lt;=$R$7),$V$7,0))
)</f>
        <v/>
      </c>
      <c r="F1155" s="153" t="s">
        <v>307</v>
      </c>
      <c r="G1155" s="616"/>
      <c r="H1155" s="617"/>
      <c r="I1155" s="618"/>
      <c r="J1155" s="616"/>
      <c r="K1155" s="617"/>
      <c r="L1155" s="618"/>
      <c r="M1155" s="255"/>
      <c r="N1155" s="256"/>
      <c r="O1155" s="388"/>
      <c r="AD1155" s="244"/>
      <c r="AE1155" s="341" t="str">
        <f>IF(OR(AM1155="",AM1155=0,AJ1155="",AG1155=""),"",
(IF(AND(AF1148=$P$4,AM1155&lt;=$R$4),$V$4,0)+IF(AND(AF1148=$P$5,AM1155&lt;=$R$5),$V$5,0)+IF(AND(AF1148=$P$6,AM1155&lt;=$R$6),$V$6,0)+IF(AND(AF1148=$P$7,AM1155&lt;=$R$7),$V$7,0))
)</f>
        <v/>
      </c>
      <c r="AF1155" s="153" t="s">
        <v>307</v>
      </c>
      <c r="AG1155" s="598"/>
      <c r="AH1155" s="599"/>
      <c r="AI1155" s="600"/>
      <c r="AJ1155" s="598"/>
      <c r="AK1155" s="599"/>
      <c r="AL1155" s="600"/>
      <c r="AM1155" s="384"/>
      <c r="AN1155" s="256"/>
      <c r="AO1155" s="388"/>
    </row>
    <row r="1156" spans="4:50" x14ac:dyDescent="0.3">
      <c r="D1156" s="244"/>
      <c r="E1156" s="341" t="str">
        <f>IF(OR(M1156="",M1156=0,J1156="",G1156=""),"",
(IF(AND(F1148=$P$4,M1156&lt;=$R$4),$V$4,0)+IF(AND(F1148=$P$5,M1156&lt;=$R$5),$V$5,0)+IF(AND(F1148=$P$6,M1156&lt;=$R$6),$V$6,0)+IF(AND(F1148=$P$7,M1156&lt;=$R$7),$V$7,0))
)</f>
        <v/>
      </c>
      <c r="F1156" s="153" t="s">
        <v>308</v>
      </c>
      <c r="G1156" s="616"/>
      <c r="H1156" s="617"/>
      <c r="I1156" s="618"/>
      <c r="J1156" s="616"/>
      <c r="K1156" s="617"/>
      <c r="L1156" s="618"/>
      <c r="M1156" s="255"/>
      <c r="N1156" s="256"/>
      <c r="O1156" s="388"/>
      <c r="AD1156" s="244"/>
      <c r="AE1156" s="341" t="str">
        <f>IF(OR(AM1156="",AM1156=0,AJ1156="",AG1156=""),"",
(IF(AND(AF1148=$P$4,AM1156&lt;=$R$4),$V$4,0)+IF(AND(AF1148=$P$5,AM1156&lt;=$R$5),$V$5,0)+IF(AND(AF1148=$P$6,AM1156&lt;=$R$6),$V$6,0)+IF(AND(AF1148=$P$7,AM1156&lt;=$R$7),$V$7,0))
)</f>
        <v/>
      </c>
      <c r="AF1156" s="153" t="s">
        <v>308</v>
      </c>
      <c r="AG1156" s="598"/>
      <c r="AH1156" s="599"/>
      <c r="AI1156" s="600"/>
      <c r="AJ1156" s="598"/>
      <c r="AK1156" s="599"/>
      <c r="AL1156" s="600"/>
      <c r="AM1156" s="384"/>
      <c r="AN1156" s="256"/>
      <c r="AO1156" s="388"/>
    </row>
    <row r="1157" spans="4:50" ht="16.2" thickBot="1" x14ac:dyDescent="0.35">
      <c r="D1157" s="203"/>
      <c r="E1157" s="3"/>
      <c r="F1157" s="3"/>
      <c r="G1157" s="3"/>
      <c r="H1157" s="3"/>
      <c r="I1157" s="3"/>
      <c r="J1157" s="3"/>
      <c r="K1157" s="3"/>
      <c r="L1157" s="3"/>
      <c r="M1157" s="3"/>
      <c r="N1157" s="204"/>
      <c r="P1157" s="2"/>
      <c r="AD1157" s="203"/>
      <c r="AE1157" s="3"/>
      <c r="AF1157" s="3"/>
      <c r="AG1157" s="3"/>
      <c r="AH1157" s="3"/>
      <c r="AI1157" s="3"/>
      <c r="AJ1157" s="3"/>
      <c r="AK1157" s="3"/>
      <c r="AL1157" s="3"/>
      <c r="AM1157" s="3"/>
      <c r="AN1157" s="204"/>
      <c r="AP1157" s="2"/>
    </row>
    <row r="1158" spans="4:50" x14ac:dyDescent="0.3">
      <c r="D1158" s="601" t="str">
        <f>IF(
OR(
OR(F1160=$P$4,F1160=$P$5,F1160=$P$6,F1160=$P$7),AND(G1162="",G1163="",G1164="",G1165="",G1166="",G1167="",G1168="",J1162="",J1163="",J1164="",J1165="",J1166="",J1167="",J1168="",M1162="",M1163="",M1164="",M1165="",M1166="",M1167="",M1168="",K1159="",K1160="")
),
"",
"A Set-Aside must be selected."
)</f>
        <v/>
      </c>
      <c r="E1158" s="602"/>
      <c r="F1158" s="602"/>
      <c r="G1158" s="602"/>
      <c r="H1158" s="602"/>
      <c r="I1158" s="602"/>
      <c r="J1158" s="602"/>
      <c r="K1158" s="602"/>
      <c r="L1158" s="602"/>
      <c r="M1158" s="602"/>
      <c r="N1158" s="603"/>
      <c r="O1158" s="2"/>
      <c r="AD1158" s="601" t="str">
        <f>IF(
OR(
OR(AF1160=$P$4,AF1160=$P$5,AF1160=$P$6,AF1160=$P$7),AND(AG1162="",AG1163="",AG1164="",AG1165="",AG1166="",AG1167="",AG1168="",AJ1162="",AJ1163="",AJ1164="",AJ1165="",AJ1166="",AJ1167="",AJ1168="",AM1162="",AM1163="",AM1164="",AM1165="",AM1166="",AM1167="",AM1168="",AK1159="",AK1160="")
),
"",
"A Set-Aside must be selected."
)</f>
        <v/>
      </c>
      <c r="AE1158" s="602"/>
      <c r="AF1158" s="602"/>
      <c r="AG1158" s="602"/>
      <c r="AH1158" s="602"/>
      <c r="AI1158" s="602"/>
      <c r="AJ1158" s="602"/>
      <c r="AK1158" s="602"/>
      <c r="AL1158" s="602"/>
      <c r="AM1158" s="602"/>
      <c r="AN1158" s="603"/>
      <c r="AO1158" s="2"/>
    </row>
    <row r="1159" spans="4:50" ht="15.75" customHeight="1" x14ac:dyDescent="0.3">
      <c r="D1159" s="199"/>
      <c r="E1159" s="9" t="s">
        <v>30</v>
      </c>
      <c r="F1159" s="86">
        <f>F1147+1</f>
        <v>94</v>
      </c>
      <c r="G1159" s="9" t="s">
        <v>175</v>
      </c>
      <c r="H1159" s="9"/>
      <c r="I1159" s="9"/>
      <c r="J1159" s="168" t="s">
        <v>111</v>
      </c>
      <c r="K1159" s="148"/>
      <c r="N1159" s="200"/>
      <c r="R1159" s="596" t="s">
        <v>302</v>
      </c>
      <c r="S1159" s="596" t="s">
        <v>303</v>
      </c>
      <c r="T1159" s="596" t="s">
        <v>304</v>
      </c>
      <c r="U1159" s="596" t="s">
        <v>305</v>
      </c>
      <c r="V1159" s="596" t="s">
        <v>306</v>
      </c>
      <c r="W1159" s="596" t="s">
        <v>307</v>
      </c>
      <c r="X1159" s="596" t="s">
        <v>308</v>
      </c>
      <c r="AD1159" s="199"/>
      <c r="AE1159" s="9" t="s">
        <v>30</v>
      </c>
      <c r="AF1159" s="86">
        <f>AF1147+1</f>
        <v>94</v>
      </c>
      <c r="AG1159" s="9" t="s">
        <v>175</v>
      </c>
      <c r="AH1159" s="9"/>
      <c r="AI1159" s="9"/>
      <c r="AJ1159" s="168" t="s">
        <v>111</v>
      </c>
      <c r="AK1159" s="382"/>
      <c r="AN1159" s="200"/>
      <c r="AR1159" s="596" t="s">
        <v>302</v>
      </c>
      <c r="AS1159" s="596" t="s">
        <v>303</v>
      </c>
      <c r="AT1159" s="596" t="s">
        <v>304</v>
      </c>
      <c r="AU1159" s="596" t="s">
        <v>305</v>
      </c>
      <c r="AV1159" s="596" t="s">
        <v>306</v>
      </c>
      <c r="AW1159" s="596" t="s">
        <v>307</v>
      </c>
      <c r="AX1159" s="596" t="s">
        <v>308</v>
      </c>
    </row>
    <row r="1160" spans="4:50" x14ac:dyDescent="0.3">
      <c r="D1160" s="604" t="s">
        <v>31</v>
      </c>
      <c r="E1160" s="594"/>
      <c r="F1160" s="151"/>
      <c r="G1160" s="86" t="str">
        <f>IF(F1160=$P$4,$Q$4,IF(F1160=$P$5,$Q$5,IF(F1160=$P$6,$Q$6,IF(F1160=$P$7,Q$7,IF(F1160=$P$8,"","")))))</f>
        <v/>
      </c>
      <c r="H1160" s="201"/>
      <c r="I1160" s="201"/>
      <c r="J1160" s="168" t="s">
        <v>112</v>
      </c>
      <c r="K1160" s="148"/>
      <c r="N1160" s="200"/>
      <c r="R1160" s="596"/>
      <c r="S1160" s="596"/>
      <c r="T1160" s="596"/>
      <c r="U1160" s="596"/>
      <c r="V1160" s="596"/>
      <c r="W1160" s="596"/>
      <c r="X1160" s="596"/>
      <c r="AD1160" s="604" t="s">
        <v>31</v>
      </c>
      <c r="AE1160" s="594"/>
      <c r="AF1160" s="383"/>
      <c r="AG1160" s="86" t="str">
        <f>IF(AF1160=$P$4,$Q$4,IF(AF1160=$P$5,$Q$5,IF(AF1160=$P$6,$Q$6,IF(AF1160=$P$7,AQ$7,IF(AF1160=$P$8,"","")))))</f>
        <v/>
      </c>
      <c r="AH1160" s="201"/>
      <c r="AI1160" s="201"/>
      <c r="AJ1160" s="168" t="s">
        <v>112</v>
      </c>
      <c r="AK1160" s="382"/>
      <c r="AN1160" s="200"/>
      <c r="AR1160" s="596"/>
      <c r="AS1160" s="596"/>
      <c r="AT1160" s="596"/>
      <c r="AU1160" s="596"/>
      <c r="AV1160" s="596"/>
      <c r="AW1160" s="596"/>
      <c r="AX1160" s="596"/>
    </row>
    <row r="1161" spans="4:50" x14ac:dyDescent="0.3">
      <c r="D1161" s="244"/>
      <c r="E1161" s="230" t="s">
        <v>52</v>
      </c>
      <c r="F1161" s="9" t="s">
        <v>32</v>
      </c>
      <c r="G1161" s="9" t="s">
        <v>33</v>
      </c>
      <c r="H1161" s="9"/>
      <c r="I1161" s="9"/>
      <c r="J1161" s="9" t="s">
        <v>34</v>
      </c>
      <c r="K1161" s="9"/>
      <c r="L1161" s="9"/>
      <c r="M1161" s="257" t="s">
        <v>35</v>
      </c>
      <c r="N1161" s="202"/>
      <c r="O1161" s="9"/>
      <c r="P1161" s="198" t="s">
        <v>22</v>
      </c>
      <c r="Q1161" s="198"/>
      <c r="R1161" s="596"/>
      <c r="S1161" s="596"/>
      <c r="T1161" s="596"/>
      <c r="U1161" s="596"/>
      <c r="V1161" s="596"/>
      <c r="W1161" s="596"/>
      <c r="X1161" s="596"/>
      <c r="AD1161" s="244"/>
      <c r="AE1161" s="230" t="s">
        <v>52</v>
      </c>
      <c r="AF1161" s="9" t="s">
        <v>32</v>
      </c>
      <c r="AG1161" s="9" t="s">
        <v>33</v>
      </c>
      <c r="AH1161" s="9"/>
      <c r="AI1161" s="9"/>
      <c r="AJ1161" s="9" t="s">
        <v>34</v>
      </c>
      <c r="AK1161" s="9"/>
      <c r="AL1161" s="9"/>
      <c r="AM1161" s="257" t="s">
        <v>35</v>
      </c>
      <c r="AN1161" s="202"/>
      <c r="AO1161" s="9"/>
      <c r="AP1161" s="198" t="s">
        <v>22</v>
      </c>
      <c r="AQ1161" s="198"/>
      <c r="AR1161" s="596"/>
      <c r="AS1161" s="596"/>
      <c r="AT1161" s="596"/>
      <c r="AU1161" s="596"/>
      <c r="AV1161" s="596"/>
      <c r="AW1161" s="596"/>
      <c r="AX1161" s="596"/>
    </row>
    <row r="1162" spans="4:50" x14ac:dyDescent="0.3">
      <c r="D1162" s="244"/>
      <c r="E1162" s="355" t="str">
        <f>IF(OR(M1162="",M1162=0,J1162="",G1162=""),"",
(IF(AND(F1160=$P$4,M1162&lt;=$R$4),$V$4,0)+IF(AND(F1160=$P$5,M1162&lt;=$R$5),$V$5,0)+IF(AND(F1160=$P$6,M1162&lt;=$R$6),$V$6,0)+IF(AND(F1160=$P$7,M1162&lt;=$R$7),$V$7,0))
)</f>
        <v/>
      </c>
      <c r="F1162" s="153" t="s">
        <v>302</v>
      </c>
      <c r="G1162" s="616"/>
      <c r="H1162" s="617"/>
      <c r="I1162" s="618"/>
      <c r="J1162" s="616"/>
      <c r="K1162" s="617"/>
      <c r="L1162" s="618"/>
      <c r="M1162" s="255"/>
      <c r="N1162" s="256"/>
      <c r="O1162" s="388"/>
      <c r="P1162" s="185">
        <f t="shared" ref="P1162" si="1487">IF(F1160="",0,1)</f>
        <v>0</v>
      </c>
      <c r="R1162" s="185" t="str">
        <f t="shared" ref="R1162" si="1488">E1162</f>
        <v/>
      </c>
      <c r="S1162" s="185" t="str">
        <f t="shared" ref="S1162" si="1489">E1163</f>
        <v/>
      </c>
      <c r="T1162" s="185" t="str">
        <f t="shared" ref="T1162" si="1490">E1164</f>
        <v/>
      </c>
      <c r="U1162" s="185" t="str">
        <f t="shared" ref="U1162" si="1491">E1165</f>
        <v/>
      </c>
      <c r="V1162" s="185" t="str">
        <f t="shared" ref="V1162" si="1492">E1166</f>
        <v/>
      </c>
      <c r="W1162" s="185" t="str">
        <f t="shared" ref="W1162" si="1493">E1167</f>
        <v/>
      </c>
      <c r="X1162" s="185" t="str">
        <f t="shared" ref="X1162" si="1494">E1168</f>
        <v/>
      </c>
      <c r="AD1162" s="244"/>
      <c r="AE1162" s="355" t="str">
        <f>IF(OR(AM1162="",AM1162=0,AJ1162="",AG1162=""),"",
(IF(AND(AF1160=$P$4,AM1162&lt;=$R$4),$V$4,0)+IF(AND(AF1160=$P$5,AM1162&lt;=$R$5),$V$5,0)+IF(AND(AF1160=$P$6,AM1162&lt;=$R$6),$V$6,0)+IF(AND(AF1160=$P$7,AM1162&lt;=$R$7),$V$7,0))
)</f>
        <v/>
      </c>
      <c r="AF1162" s="153" t="s">
        <v>302</v>
      </c>
      <c r="AG1162" s="598"/>
      <c r="AH1162" s="599"/>
      <c r="AI1162" s="600"/>
      <c r="AJ1162" s="598"/>
      <c r="AK1162" s="599"/>
      <c r="AL1162" s="600"/>
      <c r="AM1162" s="384"/>
      <c r="AN1162" s="256"/>
      <c r="AO1162" s="388"/>
      <c r="AP1162" s="185">
        <f t="shared" ref="AP1162" si="1495">IF(AF1160="",0,1)</f>
        <v>0</v>
      </c>
      <c r="AR1162" s="185" t="str">
        <f t="shared" ref="AR1162" si="1496">AE1162</f>
        <v/>
      </c>
      <c r="AS1162" s="185" t="str">
        <f t="shared" ref="AS1162" si="1497">AE1163</f>
        <v/>
      </c>
      <c r="AT1162" s="185" t="str">
        <f t="shared" ref="AT1162" si="1498">AE1164</f>
        <v/>
      </c>
      <c r="AU1162" s="185" t="str">
        <f t="shared" ref="AU1162" si="1499">AE1165</f>
        <v/>
      </c>
      <c r="AV1162" s="185" t="str">
        <f t="shared" ref="AV1162" si="1500">AE1166</f>
        <v/>
      </c>
      <c r="AW1162" s="185" t="str">
        <f t="shared" ref="AW1162" si="1501">AE1167</f>
        <v/>
      </c>
      <c r="AX1162" s="185" t="str">
        <f t="shared" ref="AX1162" si="1502">AE1168</f>
        <v/>
      </c>
    </row>
    <row r="1163" spans="4:50" x14ac:dyDescent="0.3">
      <c r="D1163" s="244"/>
      <c r="E1163" s="341" t="str">
        <f>IF(OR(M1163="",M1163=0,J1163="",G1163=""),"",
(IF(AND(F1160=$P$4,M1163&lt;=$R$4),$V$4,0)+IF(AND(F1160=$P$5,M1163&lt;=$R$5),$V$5,0)+IF(AND(F1160=$P$6,M1163&lt;=$R$6),$V$6,0)+IF(AND(F1160=$P$7,M1163&lt;=$R$7),$V$7,0))
)</f>
        <v/>
      </c>
      <c r="F1163" s="153" t="s">
        <v>303</v>
      </c>
      <c r="G1163" s="616"/>
      <c r="H1163" s="617"/>
      <c r="I1163" s="618"/>
      <c r="J1163" s="616"/>
      <c r="K1163" s="617"/>
      <c r="L1163" s="618"/>
      <c r="M1163" s="255"/>
      <c r="N1163" s="256"/>
      <c r="O1163" s="388"/>
      <c r="AD1163" s="244"/>
      <c r="AE1163" s="341" t="str">
        <f>IF(OR(AM1163="",AM1163=0,AJ1163="",AG1163=""),"",
(IF(AND(AF1160=$P$4,AM1163&lt;=$R$4),$V$4,0)+IF(AND(AF1160=$P$5,AM1163&lt;=$R$5),$V$5,0)+IF(AND(AF1160=$P$6,AM1163&lt;=$R$6),$V$6,0)+IF(AND(AF1160=$P$7,AM1163&lt;=$R$7),$V$7,0))
)</f>
        <v/>
      </c>
      <c r="AF1163" s="153" t="s">
        <v>303</v>
      </c>
      <c r="AG1163" s="598"/>
      <c r="AH1163" s="599"/>
      <c r="AI1163" s="600"/>
      <c r="AJ1163" s="598"/>
      <c r="AK1163" s="599"/>
      <c r="AL1163" s="600"/>
      <c r="AM1163" s="384"/>
      <c r="AN1163" s="256"/>
      <c r="AO1163" s="388"/>
    </row>
    <row r="1164" spans="4:50" x14ac:dyDescent="0.3">
      <c r="D1164" s="244"/>
      <c r="E1164" s="341" t="str">
        <f>IF(OR(M1164="",M1164=0,J1164="",G1164=""),"",
(IF(AND(F1160=$P$4,M1164&lt;=$R$4),$V$4,0)+IF(AND(F1160=$P$5,M1164&lt;=$R$5),$V$5,0)+IF(AND(F1160=$P$6,M1164&lt;=$R$6),$V$6,0)+IF(AND(F1160=$P$7,M1164&lt;=$R$7),$V$7,0))
)</f>
        <v/>
      </c>
      <c r="F1164" s="153" t="s">
        <v>304</v>
      </c>
      <c r="G1164" s="616"/>
      <c r="H1164" s="617"/>
      <c r="I1164" s="618"/>
      <c r="J1164" s="616"/>
      <c r="K1164" s="617"/>
      <c r="L1164" s="618"/>
      <c r="M1164" s="255"/>
      <c r="N1164" s="256"/>
      <c r="O1164" s="388"/>
      <c r="AD1164" s="244"/>
      <c r="AE1164" s="341" t="str">
        <f>IF(OR(AM1164="",AM1164=0,AJ1164="",AG1164=""),"",
(IF(AND(AF1160=$P$4,AM1164&lt;=$R$4),$V$4,0)+IF(AND(AF1160=$P$5,AM1164&lt;=$R$5),$V$5,0)+IF(AND(AF1160=$P$6,AM1164&lt;=$R$6),$V$6,0)+IF(AND(AF1160=$P$7,AM1164&lt;=$R$7),$V$7,0))
)</f>
        <v/>
      </c>
      <c r="AF1164" s="153" t="s">
        <v>304</v>
      </c>
      <c r="AG1164" s="598"/>
      <c r="AH1164" s="599"/>
      <c r="AI1164" s="600"/>
      <c r="AJ1164" s="598"/>
      <c r="AK1164" s="599"/>
      <c r="AL1164" s="600"/>
      <c r="AM1164" s="384"/>
      <c r="AN1164" s="256"/>
      <c r="AO1164" s="388"/>
    </row>
    <row r="1165" spans="4:50" x14ac:dyDescent="0.3">
      <c r="D1165" s="244"/>
      <c r="E1165" s="341" t="str">
        <f>IF(OR(M1165="",M1165=0,J1165="",G1165=""),"",
(IF(AND(F1160=$P$4,M1165&lt;=$R$4),$V$4,0)+IF(AND(F1160=$P$5,M1165&lt;=$R$5),$V$5,0)+IF(AND(F1160=$P$6,M1165&lt;=$R$6),$V$6,0)+IF(AND(F1160=$P$7,M1165&lt;=$R$7),$V$7,0))
)</f>
        <v/>
      </c>
      <c r="F1165" s="153" t="s">
        <v>305</v>
      </c>
      <c r="G1165" s="616"/>
      <c r="H1165" s="617"/>
      <c r="I1165" s="618"/>
      <c r="J1165" s="616"/>
      <c r="K1165" s="617"/>
      <c r="L1165" s="618"/>
      <c r="M1165" s="255"/>
      <c r="N1165" s="256"/>
      <c r="O1165" s="388"/>
      <c r="AD1165" s="244"/>
      <c r="AE1165" s="341" t="str">
        <f>IF(OR(AM1165="",AM1165=0,AJ1165="",AG1165=""),"",
(IF(AND(AF1160=$P$4,AM1165&lt;=$R$4),$V$4,0)+IF(AND(AF1160=$P$5,AM1165&lt;=$R$5),$V$5,0)+IF(AND(AF1160=$P$6,AM1165&lt;=$R$6),$V$6,0)+IF(AND(AF1160=$P$7,AM1165&lt;=$R$7),$V$7,0))
)</f>
        <v/>
      </c>
      <c r="AF1165" s="153" t="s">
        <v>305</v>
      </c>
      <c r="AG1165" s="598"/>
      <c r="AH1165" s="599"/>
      <c r="AI1165" s="600"/>
      <c r="AJ1165" s="598"/>
      <c r="AK1165" s="599"/>
      <c r="AL1165" s="600"/>
      <c r="AM1165" s="384"/>
      <c r="AN1165" s="256"/>
      <c r="AO1165" s="388"/>
    </row>
    <row r="1166" spans="4:50" x14ac:dyDescent="0.3">
      <c r="D1166" s="244"/>
      <c r="E1166" s="341" t="str">
        <f>IF(OR(M1166="",M1166=0,J1166="",G1166=""),"",
(IF(AND(F1160=$P$4,M1166&lt;=$R$4),$V$4,0)+IF(AND(F1160=$P$5,M1166&lt;=$R$5),$V$5,0)+IF(AND(F1160=$P$6,M1166&lt;=$R$6),$V$6,0)+IF(AND(F1160=$P$7,M1166&lt;=$R$7),$V$7,0))
)</f>
        <v/>
      </c>
      <c r="F1166" s="153" t="s">
        <v>306</v>
      </c>
      <c r="G1166" s="616"/>
      <c r="H1166" s="617"/>
      <c r="I1166" s="618"/>
      <c r="J1166" s="616"/>
      <c r="K1166" s="617"/>
      <c r="L1166" s="618"/>
      <c r="M1166" s="255"/>
      <c r="N1166" s="256"/>
      <c r="O1166" s="388"/>
      <c r="AD1166" s="244"/>
      <c r="AE1166" s="341" t="str">
        <f>IF(OR(AM1166="",AM1166=0,AJ1166="",AG1166=""),"",
(IF(AND(AF1160=$P$4,AM1166&lt;=$R$4),$V$4,0)+IF(AND(AF1160=$P$5,AM1166&lt;=$R$5),$V$5,0)+IF(AND(AF1160=$P$6,AM1166&lt;=$R$6),$V$6,0)+IF(AND(AF1160=$P$7,AM1166&lt;=$R$7),$V$7,0))
)</f>
        <v/>
      </c>
      <c r="AF1166" s="153" t="s">
        <v>306</v>
      </c>
      <c r="AG1166" s="598"/>
      <c r="AH1166" s="599"/>
      <c r="AI1166" s="600"/>
      <c r="AJ1166" s="598"/>
      <c r="AK1166" s="599"/>
      <c r="AL1166" s="600"/>
      <c r="AM1166" s="384"/>
      <c r="AN1166" s="256"/>
      <c r="AO1166" s="388"/>
    </row>
    <row r="1167" spans="4:50" x14ac:dyDescent="0.3">
      <c r="D1167" s="244"/>
      <c r="E1167" s="341" t="str">
        <f>IF(OR(M1167="",M1167=0,J1167="",G1167=""),"",
(IF(AND(F1160=$P$4,M1167&lt;=$R$4),$V$4,0)+IF(AND(F1160=$P$5,M1167&lt;=$R$5),$V$5,0)+IF(AND(F1160=$P$6,M1167&lt;=$R$6),$V$6,0)+IF(AND(F1160=$P$7,M1167&lt;=$R$7),$V$7,0))
)</f>
        <v/>
      </c>
      <c r="F1167" s="153" t="s">
        <v>307</v>
      </c>
      <c r="G1167" s="616"/>
      <c r="H1167" s="617"/>
      <c r="I1167" s="618"/>
      <c r="J1167" s="616"/>
      <c r="K1167" s="617"/>
      <c r="L1167" s="618"/>
      <c r="M1167" s="255"/>
      <c r="N1167" s="256"/>
      <c r="O1167" s="388"/>
      <c r="AD1167" s="244"/>
      <c r="AE1167" s="341" t="str">
        <f>IF(OR(AM1167="",AM1167=0,AJ1167="",AG1167=""),"",
(IF(AND(AF1160=$P$4,AM1167&lt;=$R$4),$V$4,0)+IF(AND(AF1160=$P$5,AM1167&lt;=$R$5),$V$5,0)+IF(AND(AF1160=$P$6,AM1167&lt;=$R$6),$V$6,0)+IF(AND(AF1160=$P$7,AM1167&lt;=$R$7),$V$7,0))
)</f>
        <v/>
      </c>
      <c r="AF1167" s="153" t="s">
        <v>307</v>
      </c>
      <c r="AG1167" s="598"/>
      <c r="AH1167" s="599"/>
      <c r="AI1167" s="600"/>
      <c r="AJ1167" s="598"/>
      <c r="AK1167" s="599"/>
      <c r="AL1167" s="600"/>
      <c r="AM1167" s="384"/>
      <c r="AN1167" s="256"/>
      <c r="AO1167" s="388"/>
    </row>
    <row r="1168" spans="4:50" x14ac:dyDescent="0.3">
      <c r="D1168" s="244"/>
      <c r="E1168" s="341" t="str">
        <f>IF(OR(M1168="",M1168=0,J1168="",G1168=""),"",
(IF(AND(F1160=$P$4,M1168&lt;=$R$4),$V$4,0)+IF(AND(F1160=$P$5,M1168&lt;=$R$5),$V$5,0)+IF(AND(F1160=$P$6,M1168&lt;=$R$6),$V$6,0)+IF(AND(F1160=$P$7,M1168&lt;=$R$7),$V$7,0))
)</f>
        <v/>
      </c>
      <c r="F1168" s="153" t="s">
        <v>308</v>
      </c>
      <c r="G1168" s="616"/>
      <c r="H1168" s="617"/>
      <c r="I1168" s="618"/>
      <c r="J1168" s="616"/>
      <c r="K1168" s="617"/>
      <c r="L1168" s="618"/>
      <c r="M1168" s="255"/>
      <c r="N1168" s="256"/>
      <c r="O1168" s="388"/>
      <c r="AD1168" s="244"/>
      <c r="AE1168" s="341" t="str">
        <f>IF(OR(AM1168="",AM1168=0,AJ1168="",AG1168=""),"",
(IF(AND(AF1160=$P$4,AM1168&lt;=$R$4),$V$4,0)+IF(AND(AF1160=$P$5,AM1168&lt;=$R$5),$V$5,0)+IF(AND(AF1160=$P$6,AM1168&lt;=$R$6),$V$6,0)+IF(AND(AF1160=$P$7,AM1168&lt;=$R$7),$V$7,0))
)</f>
        <v/>
      </c>
      <c r="AF1168" s="153" t="s">
        <v>308</v>
      </c>
      <c r="AG1168" s="598"/>
      <c r="AH1168" s="599"/>
      <c r="AI1168" s="600"/>
      <c r="AJ1168" s="598"/>
      <c r="AK1168" s="599"/>
      <c r="AL1168" s="600"/>
      <c r="AM1168" s="384"/>
      <c r="AN1168" s="256"/>
      <c r="AO1168" s="388"/>
    </row>
    <row r="1169" spans="4:50" ht="16.2" thickBot="1" x14ac:dyDescent="0.35">
      <c r="D1169" s="203"/>
      <c r="E1169" s="3"/>
      <c r="F1169" s="3"/>
      <c r="G1169" s="3"/>
      <c r="H1169" s="3"/>
      <c r="I1169" s="3"/>
      <c r="J1169" s="3"/>
      <c r="K1169" s="3"/>
      <c r="L1169" s="3"/>
      <c r="M1169" s="3"/>
      <c r="N1169" s="204"/>
      <c r="P1169" s="2"/>
      <c r="AD1169" s="203"/>
      <c r="AE1169" s="3"/>
      <c r="AF1169" s="3"/>
      <c r="AG1169" s="3"/>
      <c r="AH1169" s="3"/>
      <c r="AI1169" s="3"/>
      <c r="AJ1169" s="3"/>
      <c r="AK1169" s="3"/>
      <c r="AL1169" s="3"/>
      <c r="AM1169" s="3"/>
      <c r="AN1169" s="204"/>
      <c r="AP1169" s="2"/>
    </row>
    <row r="1170" spans="4:50" x14ac:dyDescent="0.3">
      <c r="D1170" s="601" t="str">
        <f>IF(
OR(
OR(F1172=$P$4,F1172=$P$5,F1172=$P$6,F1172=$P$7),AND(G1174="",G1175="",G1176="",G1177="",G1178="",G1179="",G1180="",J1174="",J1175="",J1176="",J1177="",J1178="",J1179="",J1180="",M1174="",M1175="",M1176="",M1177="",M1178="",M1179="",M1180="",K1171="",K1172="")
),
"",
"A Set-Aside must be selected."
)</f>
        <v/>
      </c>
      <c r="E1170" s="602"/>
      <c r="F1170" s="602"/>
      <c r="G1170" s="602"/>
      <c r="H1170" s="602"/>
      <c r="I1170" s="602"/>
      <c r="J1170" s="602"/>
      <c r="K1170" s="602"/>
      <c r="L1170" s="602"/>
      <c r="M1170" s="602"/>
      <c r="N1170" s="603"/>
      <c r="O1170" s="2"/>
      <c r="AD1170" s="601" t="str">
        <f>IF(
OR(
OR(AF1172=$P$4,AF1172=$P$5,AF1172=$P$6,AF1172=$P$7),AND(AG1174="",AG1175="",AG1176="",AG1177="",AG1178="",AG1179="",AG1180="",AJ1174="",AJ1175="",AJ1176="",AJ1177="",AJ1178="",AJ1179="",AJ1180="",AM1174="",AM1175="",AM1176="",AM1177="",AM1178="",AM1179="",AM1180="",AK1171="",AK1172="")
),
"",
"A Set-Aside must be selected."
)</f>
        <v/>
      </c>
      <c r="AE1170" s="602"/>
      <c r="AF1170" s="602"/>
      <c r="AG1170" s="602"/>
      <c r="AH1170" s="602"/>
      <c r="AI1170" s="602"/>
      <c r="AJ1170" s="602"/>
      <c r="AK1170" s="602"/>
      <c r="AL1170" s="602"/>
      <c r="AM1170" s="602"/>
      <c r="AN1170" s="603"/>
      <c r="AO1170" s="2"/>
    </row>
    <row r="1171" spans="4:50" ht="15.75" customHeight="1" x14ac:dyDescent="0.3">
      <c r="D1171" s="199"/>
      <c r="E1171" s="9" t="s">
        <v>30</v>
      </c>
      <c r="F1171" s="86">
        <f>F1159+1</f>
        <v>95</v>
      </c>
      <c r="G1171" s="9" t="s">
        <v>175</v>
      </c>
      <c r="H1171" s="9"/>
      <c r="I1171" s="9"/>
      <c r="J1171" s="168" t="s">
        <v>111</v>
      </c>
      <c r="K1171" s="148"/>
      <c r="N1171" s="200"/>
      <c r="R1171" s="596" t="s">
        <v>302</v>
      </c>
      <c r="S1171" s="596" t="s">
        <v>303</v>
      </c>
      <c r="T1171" s="596" t="s">
        <v>304</v>
      </c>
      <c r="U1171" s="596" t="s">
        <v>305</v>
      </c>
      <c r="V1171" s="596" t="s">
        <v>306</v>
      </c>
      <c r="W1171" s="596" t="s">
        <v>307</v>
      </c>
      <c r="X1171" s="596" t="s">
        <v>308</v>
      </c>
      <c r="AD1171" s="199"/>
      <c r="AE1171" s="9" t="s">
        <v>30</v>
      </c>
      <c r="AF1171" s="86">
        <f>AF1159+1</f>
        <v>95</v>
      </c>
      <c r="AG1171" s="9" t="s">
        <v>175</v>
      </c>
      <c r="AH1171" s="9"/>
      <c r="AI1171" s="9"/>
      <c r="AJ1171" s="168" t="s">
        <v>111</v>
      </c>
      <c r="AK1171" s="382"/>
      <c r="AN1171" s="200"/>
      <c r="AR1171" s="596" t="s">
        <v>302</v>
      </c>
      <c r="AS1171" s="596" t="s">
        <v>303</v>
      </c>
      <c r="AT1171" s="596" t="s">
        <v>304</v>
      </c>
      <c r="AU1171" s="596" t="s">
        <v>305</v>
      </c>
      <c r="AV1171" s="596" t="s">
        <v>306</v>
      </c>
      <c r="AW1171" s="596" t="s">
        <v>307</v>
      </c>
      <c r="AX1171" s="596" t="s">
        <v>308</v>
      </c>
    </row>
    <row r="1172" spans="4:50" x14ac:dyDescent="0.3">
      <c r="D1172" s="604" t="s">
        <v>31</v>
      </c>
      <c r="E1172" s="594"/>
      <c r="F1172" s="151"/>
      <c r="G1172" s="86" t="str">
        <f>IF(F1172=$P$4,$Q$4,IF(F1172=$P$5,$Q$5,IF(F1172=$P$6,$Q$6,IF(F1172=$P$7,Q$7,IF(F1172=$P$8,"","")))))</f>
        <v/>
      </c>
      <c r="H1172" s="201"/>
      <c r="I1172" s="201"/>
      <c r="J1172" s="168" t="s">
        <v>112</v>
      </c>
      <c r="K1172" s="148"/>
      <c r="N1172" s="200"/>
      <c r="R1172" s="596"/>
      <c r="S1172" s="596"/>
      <c r="T1172" s="596"/>
      <c r="U1172" s="596"/>
      <c r="V1172" s="596"/>
      <c r="W1172" s="596"/>
      <c r="X1172" s="596"/>
      <c r="AD1172" s="604" t="s">
        <v>31</v>
      </c>
      <c r="AE1172" s="594"/>
      <c r="AF1172" s="383"/>
      <c r="AG1172" s="86" t="str">
        <f>IF(AF1172=$P$4,$Q$4,IF(AF1172=$P$5,$Q$5,IF(AF1172=$P$6,$Q$6,IF(AF1172=$P$7,AQ$7,IF(AF1172=$P$8,"","")))))</f>
        <v/>
      </c>
      <c r="AH1172" s="201"/>
      <c r="AI1172" s="201"/>
      <c r="AJ1172" s="168" t="s">
        <v>112</v>
      </c>
      <c r="AK1172" s="382"/>
      <c r="AN1172" s="200"/>
      <c r="AR1172" s="596"/>
      <c r="AS1172" s="596"/>
      <c r="AT1172" s="596"/>
      <c r="AU1172" s="596"/>
      <c r="AV1172" s="596"/>
      <c r="AW1172" s="596"/>
      <c r="AX1172" s="596"/>
    </row>
    <row r="1173" spans="4:50" x14ac:dyDescent="0.3">
      <c r="D1173" s="244"/>
      <c r="E1173" s="230" t="s">
        <v>52</v>
      </c>
      <c r="F1173" s="9" t="s">
        <v>32</v>
      </c>
      <c r="G1173" s="9" t="s">
        <v>33</v>
      </c>
      <c r="H1173" s="9"/>
      <c r="I1173" s="9"/>
      <c r="J1173" s="9" t="s">
        <v>34</v>
      </c>
      <c r="K1173" s="9"/>
      <c r="L1173" s="9"/>
      <c r="M1173" s="257" t="s">
        <v>35</v>
      </c>
      <c r="N1173" s="202"/>
      <c r="O1173" s="9"/>
      <c r="P1173" s="198" t="s">
        <v>22</v>
      </c>
      <c r="Q1173" s="198"/>
      <c r="R1173" s="596"/>
      <c r="S1173" s="596"/>
      <c r="T1173" s="596"/>
      <c r="U1173" s="596"/>
      <c r="V1173" s="596"/>
      <c r="W1173" s="596"/>
      <c r="X1173" s="596"/>
      <c r="AD1173" s="244"/>
      <c r="AE1173" s="230" t="s">
        <v>52</v>
      </c>
      <c r="AF1173" s="9" t="s">
        <v>32</v>
      </c>
      <c r="AG1173" s="9" t="s">
        <v>33</v>
      </c>
      <c r="AH1173" s="9"/>
      <c r="AI1173" s="9"/>
      <c r="AJ1173" s="9" t="s">
        <v>34</v>
      </c>
      <c r="AK1173" s="9"/>
      <c r="AL1173" s="9"/>
      <c r="AM1173" s="257" t="s">
        <v>35</v>
      </c>
      <c r="AN1173" s="202"/>
      <c r="AO1173" s="9"/>
      <c r="AP1173" s="198" t="s">
        <v>22</v>
      </c>
      <c r="AQ1173" s="198"/>
      <c r="AR1173" s="596"/>
      <c r="AS1173" s="596"/>
      <c r="AT1173" s="596"/>
      <c r="AU1173" s="596"/>
      <c r="AV1173" s="596"/>
      <c r="AW1173" s="596"/>
      <c r="AX1173" s="596"/>
    </row>
    <row r="1174" spans="4:50" x14ac:dyDescent="0.3">
      <c r="D1174" s="244"/>
      <c r="E1174" s="355" t="str">
        <f>IF(OR(M1174="",M1174=0,J1174="",G1174=""),"",
(IF(AND(F1172=$P$4,M1174&lt;=$R$4),$V$4,0)+IF(AND(F1172=$P$5,M1174&lt;=$R$5),$V$5,0)+IF(AND(F1172=$P$6,M1174&lt;=$R$6),$V$6,0)+IF(AND(F1172=$P$7,M1174&lt;=$R$7),$V$7,0))
)</f>
        <v/>
      </c>
      <c r="F1174" s="153" t="s">
        <v>302</v>
      </c>
      <c r="G1174" s="616"/>
      <c r="H1174" s="617"/>
      <c r="I1174" s="618"/>
      <c r="J1174" s="616"/>
      <c r="K1174" s="617"/>
      <c r="L1174" s="618"/>
      <c r="M1174" s="255"/>
      <c r="N1174" s="256"/>
      <c r="O1174" s="388"/>
      <c r="P1174" s="185">
        <f t="shared" ref="P1174" si="1503">IF(F1172="",0,1)</f>
        <v>0</v>
      </c>
      <c r="R1174" s="185" t="str">
        <f t="shared" ref="R1174" si="1504">E1174</f>
        <v/>
      </c>
      <c r="S1174" s="185" t="str">
        <f t="shared" ref="S1174" si="1505">E1175</f>
        <v/>
      </c>
      <c r="T1174" s="185" t="str">
        <f t="shared" ref="T1174" si="1506">E1176</f>
        <v/>
      </c>
      <c r="U1174" s="185" t="str">
        <f t="shared" ref="U1174" si="1507">E1177</f>
        <v/>
      </c>
      <c r="V1174" s="185" t="str">
        <f t="shared" ref="V1174" si="1508">E1178</f>
        <v/>
      </c>
      <c r="W1174" s="185" t="str">
        <f t="shared" ref="W1174" si="1509">E1179</f>
        <v/>
      </c>
      <c r="X1174" s="185" t="str">
        <f t="shared" ref="X1174" si="1510">E1180</f>
        <v/>
      </c>
      <c r="AD1174" s="244"/>
      <c r="AE1174" s="355" t="str">
        <f>IF(OR(AM1174="",AM1174=0,AJ1174="",AG1174=""),"",
(IF(AND(AF1172=$P$4,AM1174&lt;=$R$4),$V$4,0)+IF(AND(AF1172=$P$5,AM1174&lt;=$R$5),$V$5,0)+IF(AND(AF1172=$P$6,AM1174&lt;=$R$6),$V$6,0)+IF(AND(AF1172=$P$7,AM1174&lt;=$R$7),$V$7,0))
)</f>
        <v/>
      </c>
      <c r="AF1174" s="153" t="s">
        <v>302</v>
      </c>
      <c r="AG1174" s="598"/>
      <c r="AH1174" s="599"/>
      <c r="AI1174" s="600"/>
      <c r="AJ1174" s="598"/>
      <c r="AK1174" s="599"/>
      <c r="AL1174" s="600"/>
      <c r="AM1174" s="384"/>
      <c r="AN1174" s="256"/>
      <c r="AO1174" s="388"/>
      <c r="AP1174" s="185">
        <f t="shared" ref="AP1174" si="1511">IF(AF1172="",0,1)</f>
        <v>0</v>
      </c>
      <c r="AR1174" s="185" t="str">
        <f t="shared" ref="AR1174" si="1512">AE1174</f>
        <v/>
      </c>
      <c r="AS1174" s="185" t="str">
        <f t="shared" ref="AS1174" si="1513">AE1175</f>
        <v/>
      </c>
      <c r="AT1174" s="185" t="str">
        <f t="shared" ref="AT1174" si="1514">AE1176</f>
        <v/>
      </c>
      <c r="AU1174" s="185" t="str">
        <f t="shared" ref="AU1174" si="1515">AE1177</f>
        <v/>
      </c>
      <c r="AV1174" s="185" t="str">
        <f t="shared" ref="AV1174" si="1516">AE1178</f>
        <v/>
      </c>
      <c r="AW1174" s="185" t="str">
        <f t="shared" ref="AW1174" si="1517">AE1179</f>
        <v/>
      </c>
      <c r="AX1174" s="185" t="str">
        <f t="shared" ref="AX1174" si="1518">AE1180</f>
        <v/>
      </c>
    </row>
    <row r="1175" spans="4:50" x14ac:dyDescent="0.3">
      <c r="D1175" s="244"/>
      <c r="E1175" s="341" t="str">
        <f>IF(OR(M1175="",M1175=0,J1175="",G1175=""),"",
(IF(AND(F1172=$P$4,M1175&lt;=$R$4),$V$4,0)+IF(AND(F1172=$P$5,M1175&lt;=$R$5),$V$5,0)+IF(AND(F1172=$P$6,M1175&lt;=$R$6),$V$6,0)+IF(AND(F1172=$P$7,M1175&lt;=$R$7),$V$7,0))
)</f>
        <v/>
      </c>
      <c r="F1175" s="153" t="s">
        <v>303</v>
      </c>
      <c r="G1175" s="616"/>
      <c r="H1175" s="617"/>
      <c r="I1175" s="618"/>
      <c r="J1175" s="616"/>
      <c r="K1175" s="617"/>
      <c r="L1175" s="618"/>
      <c r="M1175" s="255"/>
      <c r="N1175" s="256"/>
      <c r="O1175" s="388"/>
      <c r="AD1175" s="244"/>
      <c r="AE1175" s="341" t="str">
        <f>IF(OR(AM1175="",AM1175=0,AJ1175="",AG1175=""),"",
(IF(AND(AF1172=$P$4,AM1175&lt;=$R$4),$V$4,0)+IF(AND(AF1172=$P$5,AM1175&lt;=$R$5),$V$5,0)+IF(AND(AF1172=$P$6,AM1175&lt;=$R$6),$V$6,0)+IF(AND(AF1172=$P$7,AM1175&lt;=$R$7),$V$7,0))
)</f>
        <v/>
      </c>
      <c r="AF1175" s="153" t="s">
        <v>303</v>
      </c>
      <c r="AG1175" s="598"/>
      <c r="AH1175" s="599"/>
      <c r="AI1175" s="600"/>
      <c r="AJ1175" s="598"/>
      <c r="AK1175" s="599"/>
      <c r="AL1175" s="600"/>
      <c r="AM1175" s="384"/>
      <c r="AN1175" s="256"/>
      <c r="AO1175" s="388"/>
    </row>
    <row r="1176" spans="4:50" x14ac:dyDescent="0.3">
      <c r="D1176" s="244"/>
      <c r="E1176" s="341" t="str">
        <f>IF(OR(M1176="",M1176=0,J1176="",G1176=""),"",
(IF(AND(F1172=$P$4,M1176&lt;=$R$4),$V$4,0)+IF(AND(F1172=$P$5,M1176&lt;=$R$5),$V$5,0)+IF(AND(F1172=$P$6,M1176&lt;=$R$6),$V$6,0)+IF(AND(F1172=$P$7,M1176&lt;=$R$7),$V$7,0))
)</f>
        <v/>
      </c>
      <c r="F1176" s="153" t="s">
        <v>304</v>
      </c>
      <c r="G1176" s="616"/>
      <c r="H1176" s="617"/>
      <c r="I1176" s="618"/>
      <c r="J1176" s="616"/>
      <c r="K1176" s="617"/>
      <c r="L1176" s="618"/>
      <c r="M1176" s="255"/>
      <c r="N1176" s="256"/>
      <c r="O1176" s="388"/>
      <c r="AD1176" s="244"/>
      <c r="AE1176" s="341" t="str">
        <f>IF(OR(AM1176="",AM1176=0,AJ1176="",AG1176=""),"",
(IF(AND(AF1172=$P$4,AM1176&lt;=$R$4),$V$4,0)+IF(AND(AF1172=$P$5,AM1176&lt;=$R$5),$V$5,0)+IF(AND(AF1172=$P$6,AM1176&lt;=$R$6),$V$6,0)+IF(AND(AF1172=$P$7,AM1176&lt;=$R$7),$V$7,0))
)</f>
        <v/>
      </c>
      <c r="AF1176" s="153" t="s">
        <v>304</v>
      </c>
      <c r="AG1176" s="598"/>
      <c r="AH1176" s="599"/>
      <c r="AI1176" s="600"/>
      <c r="AJ1176" s="598"/>
      <c r="AK1176" s="599"/>
      <c r="AL1176" s="600"/>
      <c r="AM1176" s="384"/>
      <c r="AN1176" s="256"/>
      <c r="AO1176" s="388"/>
    </row>
    <row r="1177" spans="4:50" x14ac:dyDescent="0.3">
      <c r="D1177" s="244"/>
      <c r="E1177" s="341" t="str">
        <f>IF(OR(M1177="",M1177=0,J1177="",G1177=""),"",
(IF(AND(F1172=$P$4,M1177&lt;=$R$4),$V$4,0)+IF(AND(F1172=$P$5,M1177&lt;=$R$5),$V$5,0)+IF(AND(F1172=$P$6,M1177&lt;=$R$6),$V$6,0)+IF(AND(F1172=$P$7,M1177&lt;=$R$7),$V$7,0))
)</f>
        <v/>
      </c>
      <c r="F1177" s="153" t="s">
        <v>305</v>
      </c>
      <c r="G1177" s="616"/>
      <c r="H1177" s="617"/>
      <c r="I1177" s="618"/>
      <c r="J1177" s="616"/>
      <c r="K1177" s="617"/>
      <c r="L1177" s="618"/>
      <c r="M1177" s="255"/>
      <c r="N1177" s="256"/>
      <c r="O1177" s="388"/>
      <c r="AD1177" s="244"/>
      <c r="AE1177" s="341" t="str">
        <f>IF(OR(AM1177="",AM1177=0,AJ1177="",AG1177=""),"",
(IF(AND(AF1172=$P$4,AM1177&lt;=$R$4),$V$4,0)+IF(AND(AF1172=$P$5,AM1177&lt;=$R$5),$V$5,0)+IF(AND(AF1172=$P$6,AM1177&lt;=$R$6),$V$6,0)+IF(AND(AF1172=$P$7,AM1177&lt;=$R$7),$V$7,0))
)</f>
        <v/>
      </c>
      <c r="AF1177" s="153" t="s">
        <v>305</v>
      </c>
      <c r="AG1177" s="598"/>
      <c r="AH1177" s="599"/>
      <c r="AI1177" s="600"/>
      <c r="AJ1177" s="598"/>
      <c r="AK1177" s="599"/>
      <c r="AL1177" s="600"/>
      <c r="AM1177" s="384"/>
      <c r="AN1177" s="256"/>
      <c r="AO1177" s="388"/>
    </row>
    <row r="1178" spans="4:50" x14ac:dyDescent="0.3">
      <c r="D1178" s="244"/>
      <c r="E1178" s="341" t="str">
        <f>IF(OR(M1178="",M1178=0,J1178="",G1178=""),"",
(IF(AND(F1172=$P$4,M1178&lt;=$R$4),$V$4,0)+IF(AND(F1172=$P$5,M1178&lt;=$R$5),$V$5,0)+IF(AND(F1172=$P$6,M1178&lt;=$R$6),$V$6,0)+IF(AND(F1172=$P$7,M1178&lt;=$R$7),$V$7,0))
)</f>
        <v/>
      </c>
      <c r="F1178" s="153" t="s">
        <v>306</v>
      </c>
      <c r="G1178" s="616"/>
      <c r="H1178" s="617"/>
      <c r="I1178" s="618"/>
      <c r="J1178" s="616"/>
      <c r="K1178" s="617"/>
      <c r="L1178" s="618"/>
      <c r="M1178" s="255"/>
      <c r="N1178" s="256"/>
      <c r="O1178" s="388"/>
      <c r="AD1178" s="244"/>
      <c r="AE1178" s="341" t="str">
        <f>IF(OR(AM1178="",AM1178=0,AJ1178="",AG1178=""),"",
(IF(AND(AF1172=$P$4,AM1178&lt;=$R$4),$V$4,0)+IF(AND(AF1172=$P$5,AM1178&lt;=$R$5),$V$5,0)+IF(AND(AF1172=$P$6,AM1178&lt;=$R$6),$V$6,0)+IF(AND(AF1172=$P$7,AM1178&lt;=$R$7),$V$7,0))
)</f>
        <v/>
      </c>
      <c r="AF1178" s="153" t="s">
        <v>306</v>
      </c>
      <c r="AG1178" s="598"/>
      <c r="AH1178" s="599"/>
      <c r="AI1178" s="600"/>
      <c r="AJ1178" s="598"/>
      <c r="AK1178" s="599"/>
      <c r="AL1178" s="600"/>
      <c r="AM1178" s="384"/>
      <c r="AN1178" s="256"/>
      <c r="AO1178" s="388"/>
    </row>
    <row r="1179" spans="4:50" x14ac:dyDescent="0.3">
      <c r="D1179" s="244"/>
      <c r="E1179" s="341" t="str">
        <f>IF(OR(M1179="",M1179=0,J1179="",G1179=""),"",
(IF(AND(F1172=$P$4,M1179&lt;=$R$4),$V$4,0)+IF(AND(F1172=$P$5,M1179&lt;=$R$5),$V$5,0)+IF(AND(F1172=$P$6,M1179&lt;=$R$6),$V$6,0)+IF(AND(F1172=$P$7,M1179&lt;=$R$7),$V$7,0))
)</f>
        <v/>
      </c>
      <c r="F1179" s="153" t="s">
        <v>307</v>
      </c>
      <c r="G1179" s="616"/>
      <c r="H1179" s="617"/>
      <c r="I1179" s="618"/>
      <c r="J1179" s="616"/>
      <c r="K1179" s="617"/>
      <c r="L1179" s="618"/>
      <c r="M1179" s="255"/>
      <c r="N1179" s="256"/>
      <c r="O1179" s="388"/>
      <c r="AD1179" s="244"/>
      <c r="AE1179" s="341" t="str">
        <f>IF(OR(AM1179="",AM1179=0,AJ1179="",AG1179=""),"",
(IF(AND(AF1172=$P$4,AM1179&lt;=$R$4),$V$4,0)+IF(AND(AF1172=$P$5,AM1179&lt;=$R$5),$V$5,0)+IF(AND(AF1172=$P$6,AM1179&lt;=$R$6),$V$6,0)+IF(AND(AF1172=$P$7,AM1179&lt;=$R$7),$V$7,0))
)</f>
        <v/>
      </c>
      <c r="AF1179" s="153" t="s">
        <v>307</v>
      </c>
      <c r="AG1179" s="598"/>
      <c r="AH1179" s="599"/>
      <c r="AI1179" s="600"/>
      <c r="AJ1179" s="598"/>
      <c r="AK1179" s="599"/>
      <c r="AL1179" s="600"/>
      <c r="AM1179" s="384"/>
      <c r="AN1179" s="256"/>
      <c r="AO1179" s="388"/>
    </row>
    <row r="1180" spans="4:50" x14ac:dyDescent="0.3">
      <c r="D1180" s="244"/>
      <c r="E1180" s="341" t="str">
        <f>IF(OR(M1180="",M1180=0,J1180="",G1180=""),"",
(IF(AND(F1172=$P$4,M1180&lt;=$R$4),$V$4,0)+IF(AND(F1172=$P$5,M1180&lt;=$R$5),$V$5,0)+IF(AND(F1172=$P$6,M1180&lt;=$R$6),$V$6,0)+IF(AND(F1172=$P$7,M1180&lt;=$R$7),$V$7,0))
)</f>
        <v/>
      </c>
      <c r="F1180" s="153" t="s">
        <v>308</v>
      </c>
      <c r="G1180" s="616"/>
      <c r="H1180" s="617"/>
      <c r="I1180" s="618"/>
      <c r="J1180" s="616"/>
      <c r="K1180" s="617"/>
      <c r="L1180" s="618"/>
      <c r="M1180" s="255"/>
      <c r="N1180" s="256"/>
      <c r="O1180" s="388"/>
      <c r="AD1180" s="244"/>
      <c r="AE1180" s="341" t="str">
        <f>IF(OR(AM1180="",AM1180=0,AJ1180="",AG1180=""),"",
(IF(AND(AF1172=$P$4,AM1180&lt;=$R$4),$V$4,0)+IF(AND(AF1172=$P$5,AM1180&lt;=$R$5),$V$5,0)+IF(AND(AF1172=$P$6,AM1180&lt;=$R$6),$V$6,0)+IF(AND(AF1172=$P$7,AM1180&lt;=$R$7),$V$7,0))
)</f>
        <v/>
      </c>
      <c r="AF1180" s="153" t="s">
        <v>308</v>
      </c>
      <c r="AG1180" s="598"/>
      <c r="AH1180" s="599"/>
      <c r="AI1180" s="600"/>
      <c r="AJ1180" s="598"/>
      <c r="AK1180" s="599"/>
      <c r="AL1180" s="600"/>
      <c r="AM1180" s="384"/>
      <c r="AN1180" s="256"/>
      <c r="AO1180" s="388"/>
    </row>
    <row r="1181" spans="4:50" ht="16.2" thickBot="1" x14ac:dyDescent="0.35">
      <c r="D1181" s="203"/>
      <c r="E1181" s="3"/>
      <c r="F1181" s="3"/>
      <c r="G1181" s="3"/>
      <c r="H1181" s="3"/>
      <c r="I1181" s="3"/>
      <c r="J1181" s="3"/>
      <c r="K1181" s="3"/>
      <c r="L1181" s="3"/>
      <c r="M1181" s="3"/>
      <c r="N1181" s="204"/>
      <c r="P1181" s="2"/>
      <c r="AD1181" s="203"/>
      <c r="AE1181" s="3"/>
      <c r="AF1181" s="3"/>
      <c r="AG1181" s="3"/>
      <c r="AH1181" s="3"/>
      <c r="AI1181" s="3"/>
      <c r="AJ1181" s="3"/>
      <c r="AK1181" s="3"/>
      <c r="AL1181" s="3"/>
      <c r="AM1181" s="3"/>
      <c r="AN1181" s="204"/>
      <c r="AP1181" s="2"/>
    </row>
    <row r="1182" spans="4:50" x14ac:dyDescent="0.3">
      <c r="D1182" s="601" t="str">
        <f>IF(
OR(
OR(F1184=$P$4,F1184=$P$5,F1184=$P$6,F1184=$P$7),AND(G1186="",G1187="",G1188="",G1189="",G1190="",G1191="",G1192="",J1186="",J1187="",J1188="",J1189="",J1190="",J1191="",J1192="",M1186="",M1187="",M1188="",M1189="",M1190="",M1191="",M1192="",K1183="",K1184="")
),
"",
"A Set-Aside must be selected."
)</f>
        <v/>
      </c>
      <c r="E1182" s="602"/>
      <c r="F1182" s="602"/>
      <c r="G1182" s="602"/>
      <c r="H1182" s="602"/>
      <c r="I1182" s="602"/>
      <c r="J1182" s="602"/>
      <c r="K1182" s="602"/>
      <c r="L1182" s="602"/>
      <c r="M1182" s="602"/>
      <c r="N1182" s="603"/>
      <c r="O1182" s="2"/>
      <c r="AD1182" s="601" t="str">
        <f>IF(
OR(
OR(AF1184=$P$4,AF1184=$P$5,AF1184=$P$6,AF1184=$P$7),AND(AG1186="",AG1187="",AG1188="",AG1189="",AG1190="",AG1191="",AG1192="",AJ1186="",AJ1187="",AJ1188="",AJ1189="",AJ1190="",AJ1191="",AJ1192="",AM1186="",AM1187="",AM1188="",AM1189="",AM1190="",AM1191="",AM1192="",AK1183="",AK1184="")
),
"",
"A Set-Aside must be selected."
)</f>
        <v/>
      </c>
      <c r="AE1182" s="602"/>
      <c r="AF1182" s="602"/>
      <c r="AG1182" s="602"/>
      <c r="AH1182" s="602"/>
      <c r="AI1182" s="602"/>
      <c r="AJ1182" s="602"/>
      <c r="AK1182" s="602"/>
      <c r="AL1182" s="602"/>
      <c r="AM1182" s="602"/>
      <c r="AN1182" s="603"/>
      <c r="AO1182" s="2"/>
    </row>
    <row r="1183" spans="4:50" ht="15.75" customHeight="1" x14ac:dyDescent="0.3">
      <c r="D1183" s="199"/>
      <c r="E1183" s="9" t="s">
        <v>30</v>
      </c>
      <c r="F1183" s="86">
        <f>F1171+1</f>
        <v>96</v>
      </c>
      <c r="G1183" s="9" t="s">
        <v>175</v>
      </c>
      <c r="H1183" s="9"/>
      <c r="I1183" s="9"/>
      <c r="J1183" s="168" t="s">
        <v>111</v>
      </c>
      <c r="K1183" s="148"/>
      <c r="N1183" s="200"/>
      <c r="R1183" s="596" t="s">
        <v>302</v>
      </c>
      <c r="S1183" s="596" t="s">
        <v>303</v>
      </c>
      <c r="T1183" s="596" t="s">
        <v>304</v>
      </c>
      <c r="U1183" s="596" t="s">
        <v>305</v>
      </c>
      <c r="V1183" s="596" t="s">
        <v>306</v>
      </c>
      <c r="W1183" s="596" t="s">
        <v>307</v>
      </c>
      <c r="X1183" s="596" t="s">
        <v>308</v>
      </c>
      <c r="AD1183" s="199"/>
      <c r="AE1183" s="9" t="s">
        <v>30</v>
      </c>
      <c r="AF1183" s="86">
        <f>AF1171+1</f>
        <v>96</v>
      </c>
      <c r="AG1183" s="9" t="s">
        <v>175</v>
      </c>
      <c r="AH1183" s="9"/>
      <c r="AI1183" s="9"/>
      <c r="AJ1183" s="168" t="s">
        <v>111</v>
      </c>
      <c r="AK1183" s="382"/>
      <c r="AN1183" s="200"/>
      <c r="AR1183" s="596" t="s">
        <v>302</v>
      </c>
      <c r="AS1183" s="596" t="s">
        <v>303</v>
      </c>
      <c r="AT1183" s="596" t="s">
        <v>304</v>
      </c>
      <c r="AU1183" s="596" t="s">
        <v>305</v>
      </c>
      <c r="AV1183" s="596" t="s">
        <v>306</v>
      </c>
      <c r="AW1183" s="596" t="s">
        <v>307</v>
      </c>
      <c r="AX1183" s="596" t="s">
        <v>308</v>
      </c>
    </row>
    <row r="1184" spans="4:50" x14ac:dyDescent="0.3">
      <c r="D1184" s="604" t="s">
        <v>31</v>
      </c>
      <c r="E1184" s="594"/>
      <c r="F1184" s="151"/>
      <c r="G1184" s="86" t="str">
        <f>IF(F1184=$P$4,$Q$4,IF(F1184=$P$5,$Q$5,IF(F1184=$P$6,$Q$6,IF(F1184=$P$7,Q$7,IF(F1184=$P$8,"","")))))</f>
        <v/>
      </c>
      <c r="H1184" s="201"/>
      <c r="I1184" s="201"/>
      <c r="J1184" s="168" t="s">
        <v>112</v>
      </c>
      <c r="K1184" s="148"/>
      <c r="N1184" s="200"/>
      <c r="R1184" s="596"/>
      <c r="S1184" s="596"/>
      <c r="T1184" s="596"/>
      <c r="U1184" s="596"/>
      <c r="V1184" s="596"/>
      <c r="W1184" s="596"/>
      <c r="X1184" s="596"/>
      <c r="AD1184" s="604" t="s">
        <v>31</v>
      </c>
      <c r="AE1184" s="594"/>
      <c r="AF1184" s="383"/>
      <c r="AG1184" s="86" t="str">
        <f>IF(AF1184=$P$4,$Q$4,IF(AF1184=$P$5,$Q$5,IF(AF1184=$P$6,$Q$6,IF(AF1184=$P$7,AQ$7,IF(AF1184=$P$8,"","")))))</f>
        <v/>
      </c>
      <c r="AH1184" s="201"/>
      <c r="AI1184" s="201"/>
      <c r="AJ1184" s="168" t="s">
        <v>112</v>
      </c>
      <c r="AK1184" s="382"/>
      <c r="AN1184" s="200"/>
      <c r="AR1184" s="596"/>
      <c r="AS1184" s="596"/>
      <c r="AT1184" s="596"/>
      <c r="AU1184" s="596"/>
      <c r="AV1184" s="596"/>
      <c r="AW1184" s="596"/>
      <c r="AX1184" s="596"/>
    </row>
    <row r="1185" spans="4:50" x14ac:dyDescent="0.3">
      <c r="D1185" s="244"/>
      <c r="E1185" s="230" t="s">
        <v>52</v>
      </c>
      <c r="F1185" s="9" t="s">
        <v>32</v>
      </c>
      <c r="G1185" s="9" t="s">
        <v>33</v>
      </c>
      <c r="H1185" s="9"/>
      <c r="I1185" s="9"/>
      <c r="J1185" s="9" t="s">
        <v>34</v>
      </c>
      <c r="K1185" s="9"/>
      <c r="L1185" s="9"/>
      <c r="M1185" s="257" t="s">
        <v>35</v>
      </c>
      <c r="N1185" s="202"/>
      <c r="O1185" s="9"/>
      <c r="P1185" s="198" t="s">
        <v>22</v>
      </c>
      <c r="Q1185" s="198"/>
      <c r="R1185" s="596"/>
      <c r="S1185" s="596"/>
      <c r="T1185" s="596"/>
      <c r="U1185" s="596"/>
      <c r="V1185" s="596"/>
      <c r="W1185" s="596"/>
      <c r="X1185" s="596"/>
      <c r="AD1185" s="244"/>
      <c r="AE1185" s="230" t="s">
        <v>52</v>
      </c>
      <c r="AF1185" s="9" t="s">
        <v>32</v>
      </c>
      <c r="AG1185" s="9" t="s">
        <v>33</v>
      </c>
      <c r="AH1185" s="9"/>
      <c r="AI1185" s="9"/>
      <c r="AJ1185" s="9" t="s">
        <v>34</v>
      </c>
      <c r="AK1185" s="9"/>
      <c r="AL1185" s="9"/>
      <c r="AM1185" s="257" t="s">
        <v>35</v>
      </c>
      <c r="AN1185" s="202"/>
      <c r="AO1185" s="9"/>
      <c r="AP1185" s="198" t="s">
        <v>22</v>
      </c>
      <c r="AQ1185" s="198"/>
      <c r="AR1185" s="596"/>
      <c r="AS1185" s="596"/>
      <c r="AT1185" s="596"/>
      <c r="AU1185" s="596"/>
      <c r="AV1185" s="596"/>
      <c r="AW1185" s="596"/>
      <c r="AX1185" s="596"/>
    </row>
    <row r="1186" spans="4:50" x14ac:dyDescent="0.3">
      <c r="D1186" s="244"/>
      <c r="E1186" s="355" t="str">
        <f>IF(OR(M1186="",M1186=0,J1186="",G1186=""),"",
(IF(AND(F1184=$P$4,M1186&lt;=$R$4),$V$4,0)+IF(AND(F1184=$P$5,M1186&lt;=$R$5),$V$5,0)+IF(AND(F1184=$P$6,M1186&lt;=$R$6),$V$6,0)+IF(AND(F1184=$P$7,M1186&lt;=$R$7),$V$7,0))
)</f>
        <v/>
      </c>
      <c r="F1186" s="153" t="s">
        <v>302</v>
      </c>
      <c r="G1186" s="616"/>
      <c r="H1186" s="617"/>
      <c r="I1186" s="618"/>
      <c r="J1186" s="616"/>
      <c r="K1186" s="617"/>
      <c r="L1186" s="618"/>
      <c r="M1186" s="255"/>
      <c r="N1186" s="256"/>
      <c r="O1186" s="388"/>
      <c r="P1186" s="185">
        <f t="shared" ref="P1186" si="1519">IF(F1184="",0,1)</f>
        <v>0</v>
      </c>
      <c r="R1186" s="185" t="str">
        <f t="shared" ref="R1186" si="1520">E1186</f>
        <v/>
      </c>
      <c r="S1186" s="185" t="str">
        <f t="shared" ref="S1186" si="1521">E1187</f>
        <v/>
      </c>
      <c r="T1186" s="185" t="str">
        <f t="shared" ref="T1186" si="1522">E1188</f>
        <v/>
      </c>
      <c r="U1186" s="185" t="str">
        <f t="shared" ref="U1186" si="1523">E1189</f>
        <v/>
      </c>
      <c r="V1186" s="185" t="str">
        <f t="shared" ref="V1186" si="1524">E1190</f>
        <v/>
      </c>
      <c r="W1186" s="185" t="str">
        <f t="shared" ref="W1186" si="1525">E1191</f>
        <v/>
      </c>
      <c r="X1186" s="185" t="str">
        <f t="shared" ref="X1186" si="1526">E1192</f>
        <v/>
      </c>
      <c r="AD1186" s="244"/>
      <c r="AE1186" s="355" t="str">
        <f>IF(OR(AM1186="",AM1186=0,AJ1186="",AG1186=""),"",
(IF(AND(AF1184=$P$4,AM1186&lt;=$R$4),$V$4,0)+IF(AND(AF1184=$P$5,AM1186&lt;=$R$5),$V$5,0)+IF(AND(AF1184=$P$6,AM1186&lt;=$R$6),$V$6,0)+IF(AND(AF1184=$P$7,AM1186&lt;=$R$7),$V$7,0))
)</f>
        <v/>
      </c>
      <c r="AF1186" s="153" t="s">
        <v>302</v>
      </c>
      <c r="AG1186" s="598"/>
      <c r="AH1186" s="599"/>
      <c r="AI1186" s="600"/>
      <c r="AJ1186" s="598"/>
      <c r="AK1186" s="599"/>
      <c r="AL1186" s="600"/>
      <c r="AM1186" s="384"/>
      <c r="AN1186" s="256"/>
      <c r="AO1186" s="388"/>
      <c r="AP1186" s="185">
        <f t="shared" ref="AP1186" si="1527">IF(AF1184="",0,1)</f>
        <v>0</v>
      </c>
      <c r="AR1186" s="185" t="str">
        <f t="shared" ref="AR1186" si="1528">AE1186</f>
        <v/>
      </c>
      <c r="AS1186" s="185" t="str">
        <f t="shared" ref="AS1186" si="1529">AE1187</f>
        <v/>
      </c>
      <c r="AT1186" s="185" t="str">
        <f t="shared" ref="AT1186" si="1530">AE1188</f>
        <v/>
      </c>
      <c r="AU1186" s="185" t="str">
        <f t="shared" ref="AU1186" si="1531">AE1189</f>
        <v/>
      </c>
      <c r="AV1186" s="185" t="str">
        <f t="shared" ref="AV1186" si="1532">AE1190</f>
        <v/>
      </c>
      <c r="AW1186" s="185" t="str">
        <f t="shared" ref="AW1186" si="1533">AE1191</f>
        <v/>
      </c>
      <c r="AX1186" s="185" t="str">
        <f t="shared" ref="AX1186" si="1534">AE1192</f>
        <v/>
      </c>
    </row>
    <row r="1187" spans="4:50" x14ac:dyDescent="0.3">
      <c r="D1187" s="244"/>
      <c r="E1187" s="341" t="str">
        <f>IF(OR(M1187="",M1187=0,J1187="",G1187=""),"",
(IF(AND(F1184=$P$4,M1187&lt;=$R$4),$V$4,0)+IF(AND(F1184=$P$5,M1187&lt;=$R$5),$V$5,0)+IF(AND(F1184=$P$6,M1187&lt;=$R$6),$V$6,0)+IF(AND(F1184=$P$7,M1187&lt;=$R$7),$V$7,0))
)</f>
        <v/>
      </c>
      <c r="F1187" s="153" t="s">
        <v>303</v>
      </c>
      <c r="G1187" s="616"/>
      <c r="H1187" s="617"/>
      <c r="I1187" s="618"/>
      <c r="J1187" s="616"/>
      <c r="K1187" s="617"/>
      <c r="L1187" s="618"/>
      <c r="M1187" s="255"/>
      <c r="N1187" s="256"/>
      <c r="O1187" s="388"/>
      <c r="AD1187" s="244"/>
      <c r="AE1187" s="341" t="str">
        <f>IF(OR(AM1187="",AM1187=0,AJ1187="",AG1187=""),"",
(IF(AND(AF1184=$P$4,AM1187&lt;=$R$4),$V$4,0)+IF(AND(AF1184=$P$5,AM1187&lt;=$R$5),$V$5,0)+IF(AND(AF1184=$P$6,AM1187&lt;=$R$6),$V$6,0)+IF(AND(AF1184=$P$7,AM1187&lt;=$R$7),$V$7,0))
)</f>
        <v/>
      </c>
      <c r="AF1187" s="153" t="s">
        <v>303</v>
      </c>
      <c r="AG1187" s="598"/>
      <c r="AH1187" s="599"/>
      <c r="AI1187" s="600"/>
      <c r="AJ1187" s="598"/>
      <c r="AK1187" s="599"/>
      <c r="AL1187" s="600"/>
      <c r="AM1187" s="384"/>
      <c r="AN1187" s="256"/>
      <c r="AO1187" s="388"/>
    </row>
    <row r="1188" spans="4:50" x14ac:dyDescent="0.3">
      <c r="D1188" s="244"/>
      <c r="E1188" s="341" t="str">
        <f>IF(OR(M1188="",M1188=0,J1188="",G1188=""),"",
(IF(AND(F1184=$P$4,M1188&lt;=$R$4),$V$4,0)+IF(AND(F1184=$P$5,M1188&lt;=$R$5),$V$5,0)+IF(AND(F1184=$P$6,M1188&lt;=$R$6),$V$6,0)+IF(AND(F1184=$P$7,M1188&lt;=$R$7),$V$7,0))
)</f>
        <v/>
      </c>
      <c r="F1188" s="153" t="s">
        <v>304</v>
      </c>
      <c r="G1188" s="616"/>
      <c r="H1188" s="617"/>
      <c r="I1188" s="618"/>
      <c r="J1188" s="616"/>
      <c r="K1188" s="617"/>
      <c r="L1188" s="618"/>
      <c r="M1188" s="255"/>
      <c r="N1188" s="256"/>
      <c r="O1188" s="388"/>
      <c r="AD1188" s="244"/>
      <c r="AE1188" s="341" t="str">
        <f>IF(OR(AM1188="",AM1188=0,AJ1188="",AG1188=""),"",
(IF(AND(AF1184=$P$4,AM1188&lt;=$R$4),$V$4,0)+IF(AND(AF1184=$P$5,AM1188&lt;=$R$5),$V$5,0)+IF(AND(AF1184=$P$6,AM1188&lt;=$R$6),$V$6,0)+IF(AND(AF1184=$P$7,AM1188&lt;=$R$7),$V$7,0))
)</f>
        <v/>
      </c>
      <c r="AF1188" s="153" t="s">
        <v>304</v>
      </c>
      <c r="AG1188" s="598"/>
      <c r="AH1188" s="599"/>
      <c r="AI1188" s="600"/>
      <c r="AJ1188" s="598"/>
      <c r="AK1188" s="599"/>
      <c r="AL1188" s="600"/>
      <c r="AM1188" s="384"/>
      <c r="AN1188" s="256"/>
      <c r="AO1188" s="388"/>
    </row>
    <row r="1189" spans="4:50" x14ac:dyDescent="0.3">
      <c r="D1189" s="244"/>
      <c r="E1189" s="341" t="str">
        <f>IF(OR(M1189="",M1189=0,J1189="",G1189=""),"",
(IF(AND(F1184=$P$4,M1189&lt;=$R$4),$V$4,0)+IF(AND(F1184=$P$5,M1189&lt;=$R$5),$V$5,0)+IF(AND(F1184=$P$6,M1189&lt;=$R$6),$V$6,0)+IF(AND(F1184=$P$7,M1189&lt;=$R$7),$V$7,0))
)</f>
        <v/>
      </c>
      <c r="F1189" s="153" t="s">
        <v>305</v>
      </c>
      <c r="G1189" s="616"/>
      <c r="H1189" s="617"/>
      <c r="I1189" s="618"/>
      <c r="J1189" s="616"/>
      <c r="K1189" s="617"/>
      <c r="L1189" s="618"/>
      <c r="M1189" s="255"/>
      <c r="N1189" s="256"/>
      <c r="O1189" s="388"/>
      <c r="AD1189" s="244"/>
      <c r="AE1189" s="341" t="str">
        <f>IF(OR(AM1189="",AM1189=0,AJ1189="",AG1189=""),"",
(IF(AND(AF1184=$P$4,AM1189&lt;=$R$4),$V$4,0)+IF(AND(AF1184=$P$5,AM1189&lt;=$R$5),$V$5,0)+IF(AND(AF1184=$P$6,AM1189&lt;=$R$6),$V$6,0)+IF(AND(AF1184=$P$7,AM1189&lt;=$R$7),$V$7,0))
)</f>
        <v/>
      </c>
      <c r="AF1189" s="153" t="s">
        <v>305</v>
      </c>
      <c r="AG1189" s="598"/>
      <c r="AH1189" s="599"/>
      <c r="AI1189" s="600"/>
      <c r="AJ1189" s="598"/>
      <c r="AK1189" s="599"/>
      <c r="AL1189" s="600"/>
      <c r="AM1189" s="384"/>
      <c r="AN1189" s="256"/>
      <c r="AO1189" s="388"/>
    </row>
    <row r="1190" spans="4:50" x14ac:dyDescent="0.3">
      <c r="D1190" s="244"/>
      <c r="E1190" s="341" t="str">
        <f>IF(OR(M1190="",M1190=0,J1190="",G1190=""),"",
(IF(AND(F1184=$P$4,M1190&lt;=$R$4),$V$4,0)+IF(AND(F1184=$P$5,M1190&lt;=$R$5),$V$5,0)+IF(AND(F1184=$P$6,M1190&lt;=$R$6),$V$6,0)+IF(AND(F1184=$P$7,M1190&lt;=$R$7),$V$7,0))
)</f>
        <v/>
      </c>
      <c r="F1190" s="153" t="s">
        <v>306</v>
      </c>
      <c r="G1190" s="616"/>
      <c r="H1190" s="617"/>
      <c r="I1190" s="618"/>
      <c r="J1190" s="616"/>
      <c r="K1190" s="617"/>
      <c r="L1190" s="618"/>
      <c r="M1190" s="255"/>
      <c r="N1190" s="256"/>
      <c r="O1190" s="388"/>
      <c r="AD1190" s="244"/>
      <c r="AE1190" s="341" t="str">
        <f>IF(OR(AM1190="",AM1190=0,AJ1190="",AG1190=""),"",
(IF(AND(AF1184=$P$4,AM1190&lt;=$R$4),$V$4,0)+IF(AND(AF1184=$P$5,AM1190&lt;=$R$5),$V$5,0)+IF(AND(AF1184=$P$6,AM1190&lt;=$R$6),$V$6,0)+IF(AND(AF1184=$P$7,AM1190&lt;=$R$7),$V$7,0))
)</f>
        <v/>
      </c>
      <c r="AF1190" s="153" t="s">
        <v>306</v>
      </c>
      <c r="AG1190" s="598"/>
      <c r="AH1190" s="599"/>
      <c r="AI1190" s="600"/>
      <c r="AJ1190" s="598"/>
      <c r="AK1190" s="599"/>
      <c r="AL1190" s="600"/>
      <c r="AM1190" s="384"/>
      <c r="AN1190" s="256"/>
      <c r="AO1190" s="388"/>
    </row>
    <row r="1191" spans="4:50" x14ac:dyDescent="0.3">
      <c r="D1191" s="244"/>
      <c r="E1191" s="341" t="str">
        <f>IF(OR(M1191="",M1191=0,J1191="",G1191=""),"",
(IF(AND(F1184=$P$4,M1191&lt;=$R$4),$V$4,0)+IF(AND(F1184=$P$5,M1191&lt;=$R$5),$V$5,0)+IF(AND(F1184=$P$6,M1191&lt;=$R$6),$V$6,0)+IF(AND(F1184=$P$7,M1191&lt;=$R$7),$V$7,0))
)</f>
        <v/>
      </c>
      <c r="F1191" s="153" t="s">
        <v>307</v>
      </c>
      <c r="G1191" s="616"/>
      <c r="H1191" s="617"/>
      <c r="I1191" s="618"/>
      <c r="J1191" s="616"/>
      <c r="K1191" s="617"/>
      <c r="L1191" s="618"/>
      <c r="M1191" s="255"/>
      <c r="N1191" s="256"/>
      <c r="O1191" s="388"/>
      <c r="AD1191" s="244"/>
      <c r="AE1191" s="341" t="str">
        <f>IF(OR(AM1191="",AM1191=0,AJ1191="",AG1191=""),"",
(IF(AND(AF1184=$P$4,AM1191&lt;=$R$4),$V$4,0)+IF(AND(AF1184=$P$5,AM1191&lt;=$R$5),$V$5,0)+IF(AND(AF1184=$P$6,AM1191&lt;=$R$6),$V$6,0)+IF(AND(AF1184=$P$7,AM1191&lt;=$R$7),$V$7,0))
)</f>
        <v/>
      </c>
      <c r="AF1191" s="153" t="s">
        <v>307</v>
      </c>
      <c r="AG1191" s="598"/>
      <c r="AH1191" s="599"/>
      <c r="AI1191" s="600"/>
      <c r="AJ1191" s="598"/>
      <c r="AK1191" s="599"/>
      <c r="AL1191" s="600"/>
      <c r="AM1191" s="384"/>
      <c r="AN1191" s="256"/>
      <c r="AO1191" s="388"/>
    </row>
    <row r="1192" spans="4:50" x14ac:dyDescent="0.3">
      <c r="D1192" s="244"/>
      <c r="E1192" s="341" t="str">
        <f>IF(OR(M1192="",M1192=0,J1192="",G1192=""),"",
(IF(AND(F1184=$P$4,M1192&lt;=$R$4),$V$4,0)+IF(AND(F1184=$P$5,M1192&lt;=$R$5),$V$5,0)+IF(AND(F1184=$P$6,M1192&lt;=$R$6),$V$6,0)+IF(AND(F1184=$P$7,M1192&lt;=$R$7),$V$7,0))
)</f>
        <v/>
      </c>
      <c r="F1192" s="153" t="s">
        <v>308</v>
      </c>
      <c r="G1192" s="616"/>
      <c r="H1192" s="617"/>
      <c r="I1192" s="618"/>
      <c r="J1192" s="616"/>
      <c r="K1192" s="617"/>
      <c r="L1192" s="618"/>
      <c r="M1192" s="255"/>
      <c r="N1192" s="256"/>
      <c r="O1192" s="388"/>
      <c r="AD1192" s="244"/>
      <c r="AE1192" s="341" t="str">
        <f>IF(OR(AM1192="",AM1192=0,AJ1192="",AG1192=""),"",
(IF(AND(AF1184=$P$4,AM1192&lt;=$R$4),$V$4,0)+IF(AND(AF1184=$P$5,AM1192&lt;=$R$5),$V$5,0)+IF(AND(AF1184=$P$6,AM1192&lt;=$R$6),$V$6,0)+IF(AND(AF1184=$P$7,AM1192&lt;=$R$7),$V$7,0))
)</f>
        <v/>
      </c>
      <c r="AF1192" s="153" t="s">
        <v>308</v>
      </c>
      <c r="AG1192" s="598"/>
      <c r="AH1192" s="599"/>
      <c r="AI1192" s="600"/>
      <c r="AJ1192" s="598"/>
      <c r="AK1192" s="599"/>
      <c r="AL1192" s="600"/>
      <c r="AM1192" s="384"/>
      <c r="AN1192" s="256"/>
      <c r="AO1192" s="388"/>
    </row>
    <row r="1193" spans="4:50" ht="16.2" thickBot="1" x14ac:dyDescent="0.35">
      <c r="D1193" s="203"/>
      <c r="E1193" s="3"/>
      <c r="F1193" s="3"/>
      <c r="G1193" s="3"/>
      <c r="H1193" s="3"/>
      <c r="I1193" s="3"/>
      <c r="J1193" s="3"/>
      <c r="K1193" s="3"/>
      <c r="L1193" s="3"/>
      <c r="M1193" s="3"/>
      <c r="N1193" s="204"/>
      <c r="P1193" s="2"/>
      <c r="AD1193" s="203"/>
      <c r="AE1193" s="3"/>
      <c r="AF1193" s="3"/>
      <c r="AG1193" s="3"/>
      <c r="AH1193" s="3"/>
      <c r="AI1193" s="3"/>
      <c r="AJ1193" s="3"/>
      <c r="AK1193" s="3"/>
      <c r="AL1193" s="3"/>
      <c r="AM1193" s="3"/>
      <c r="AN1193" s="204"/>
      <c r="AP1193" s="2"/>
    </row>
    <row r="1194" spans="4:50" x14ac:dyDescent="0.3">
      <c r="D1194" s="601" t="str">
        <f>IF(
OR(
OR(F1196=$P$4,F1196=$P$5,F1196=$P$6,F1196=$P$7),AND(G1198="",G1199="",G1200="",G1201="",G1202="",G1203="",G1204="",J1198="",J1199="",J1200="",J1201="",J1202="",J1203="",J1204="",M1198="",M1199="",M1200="",M1201="",M1202="",M1203="",M1204="",K1195="",K1196="")
),
"",
"A Set-Aside must be selected."
)</f>
        <v/>
      </c>
      <c r="E1194" s="602"/>
      <c r="F1194" s="602"/>
      <c r="G1194" s="602"/>
      <c r="H1194" s="602"/>
      <c r="I1194" s="602"/>
      <c r="J1194" s="602"/>
      <c r="K1194" s="602"/>
      <c r="L1194" s="602"/>
      <c r="M1194" s="602"/>
      <c r="N1194" s="603"/>
      <c r="O1194" s="2"/>
      <c r="AD1194" s="601" t="str">
        <f>IF(
OR(
OR(AF1196=$P$4,AF1196=$P$5,AF1196=$P$6,AF1196=$P$7),AND(AG1198="",AG1199="",AG1200="",AG1201="",AG1202="",AG1203="",AG1204="",AJ1198="",AJ1199="",AJ1200="",AJ1201="",AJ1202="",AJ1203="",AJ1204="",AM1198="",AM1199="",AM1200="",AM1201="",AM1202="",AM1203="",AM1204="",AK1195="",AK1196="")
),
"",
"A Set-Aside must be selected."
)</f>
        <v/>
      </c>
      <c r="AE1194" s="602"/>
      <c r="AF1194" s="602"/>
      <c r="AG1194" s="602"/>
      <c r="AH1194" s="602"/>
      <c r="AI1194" s="602"/>
      <c r="AJ1194" s="602"/>
      <c r="AK1194" s="602"/>
      <c r="AL1194" s="602"/>
      <c r="AM1194" s="602"/>
      <c r="AN1194" s="603"/>
      <c r="AO1194" s="2"/>
    </row>
    <row r="1195" spans="4:50" ht="15.75" customHeight="1" x14ac:dyDescent="0.3">
      <c r="D1195" s="199"/>
      <c r="E1195" s="9" t="s">
        <v>30</v>
      </c>
      <c r="F1195" s="86">
        <f>F1183+1</f>
        <v>97</v>
      </c>
      <c r="G1195" s="9" t="s">
        <v>175</v>
      </c>
      <c r="H1195" s="9"/>
      <c r="I1195" s="9"/>
      <c r="J1195" s="168" t="s">
        <v>111</v>
      </c>
      <c r="K1195" s="148"/>
      <c r="N1195" s="200"/>
      <c r="R1195" s="596" t="s">
        <v>302</v>
      </c>
      <c r="S1195" s="596" t="s">
        <v>303</v>
      </c>
      <c r="T1195" s="596" t="s">
        <v>304</v>
      </c>
      <c r="U1195" s="596" t="s">
        <v>305</v>
      </c>
      <c r="V1195" s="596" t="s">
        <v>306</v>
      </c>
      <c r="W1195" s="596" t="s">
        <v>307</v>
      </c>
      <c r="X1195" s="596" t="s">
        <v>308</v>
      </c>
      <c r="AD1195" s="199"/>
      <c r="AE1195" s="9" t="s">
        <v>30</v>
      </c>
      <c r="AF1195" s="86">
        <f>AF1183+1</f>
        <v>97</v>
      </c>
      <c r="AG1195" s="9" t="s">
        <v>175</v>
      </c>
      <c r="AH1195" s="9"/>
      <c r="AI1195" s="9"/>
      <c r="AJ1195" s="168" t="s">
        <v>111</v>
      </c>
      <c r="AK1195" s="382"/>
      <c r="AN1195" s="200"/>
      <c r="AR1195" s="596" t="s">
        <v>302</v>
      </c>
      <c r="AS1195" s="596" t="s">
        <v>303</v>
      </c>
      <c r="AT1195" s="596" t="s">
        <v>304</v>
      </c>
      <c r="AU1195" s="596" t="s">
        <v>305</v>
      </c>
      <c r="AV1195" s="596" t="s">
        <v>306</v>
      </c>
      <c r="AW1195" s="596" t="s">
        <v>307</v>
      </c>
      <c r="AX1195" s="596" t="s">
        <v>308</v>
      </c>
    </row>
    <row r="1196" spans="4:50" x14ac:dyDescent="0.3">
      <c r="D1196" s="604" t="s">
        <v>31</v>
      </c>
      <c r="E1196" s="594"/>
      <c r="F1196" s="151"/>
      <c r="G1196" s="86" t="str">
        <f>IF(F1196=$P$4,$Q$4,IF(F1196=$P$5,$Q$5,IF(F1196=$P$6,$Q$6,IF(F1196=$P$7,Q$7,IF(F1196=$P$8,"","")))))</f>
        <v/>
      </c>
      <c r="H1196" s="201"/>
      <c r="I1196" s="201"/>
      <c r="J1196" s="168" t="s">
        <v>112</v>
      </c>
      <c r="K1196" s="148"/>
      <c r="N1196" s="200"/>
      <c r="R1196" s="596"/>
      <c r="S1196" s="596"/>
      <c r="T1196" s="596"/>
      <c r="U1196" s="596"/>
      <c r="V1196" s="596"/>
      <c r="W1196" s="596"/>
      <c r="X1196" s="596"/>
      <c r="AD1196" s="604" t="s">
        <v>31</v>
      </c>
      <c r="AE1196" s="594"/>
      <c r="AF1196" s="383"/>
      <c r="AG1196" s="86" t="str">
        <f>IF(AF1196=$P$4,$Q$4,IF(AF1196=$P$5,$Q$5,IF(AF1196=$P$6,$Q$6,IF(AF1196=$P$7,AQ$7,IF(AF1196=$P$8,"","")))))</f>
        <v/>
      </c>
      <c r="AH1196" s="201"/>
      <c r="AI1196" s="201"/>
      <c r="AJ1196" s="168" t="s">
        <v>112</v>
      </c>
      <c r="AK1196" s="382"/>
      <c r="AN1196" s="200"/>
      <c r="AR1196" s="596"/>
      <c r="AS1196" s="596"/>
      <c r="AT1196" s="596"/>
      <c r="AU1196" s="596"/>
      <c r="AV1196" s="596"/>
      <c r="AW1196" s="596"/>
      <c r="AX1196" s="596"/>
    </row>
    <row r="1197" spans="4:50" x14ac:dyDescent="0.3">
      <c r="D1197" s="244"/>
      <c r="E1197" s="230" t="s">
        <v>52</v>
      </c>
      <c r="F1197" s="9" t="s">
        <v>32</v>
      </c>
      <c r="G1197" s="9" t="s">
        <v>33</v>
      </c>
      <c r="H1197" s="9"/>
      <c r="I1197" s="9"/>
      <c r="J1197" s="9" t="s">
        <v>34</v>
      </c>
      <c r="K1197" s="9"/>
      <c r="L1197" s="9"/>
      <c r="M1197" s="257" t="s">
        <v>35</v>
      </c>
      <c r="N1197" s="202"/>
      <c r="O1197" s="9"/>
      <c r="P1197" s="198" t="s">
        <v>22</v>
      </c>
      <c r="Q1197" s="198"/>
      <c r="R1197" s="596"/>
      <c r="S1197" s="596"/>
      <c r="T1197" s="596"/>
      <c r="U1197" s="596"/>
      <c r="V1197" s="596"/>
      <c r="W1197" s="596"/>
      <c r="X1197" s="596"/>
      <c r="AD1197" s="244"/>
      <c r="AE1197" s="230" t="s">
        <v>52</v>
      </c>
      <c r="AF1197" s="9" t="s">
        <v>32</v>
      </c>
      <c r="AG1197" s="9" t="s">
        <v>33</v>
      </c>
      <c r="AH1197" s="9"/>
      <c r="AI1197" s="9"/>
      <c r="AJ1197" s="9" t="s">
        <v>34</v>
      </c>
      <c r="AK1197" s="9"/>
      <c r="AL1197" s="9"/>
      <c r="AM1197" s="257" t="s">
        <v>35</v>
      </c>
      <c r="AN1197" s="202"/>
      <c r="AO1197" s="9"/>
      <c r="AP1197" s="198" t="s">
        <v>22</v>
      </c>
      <c r="AQ1197" s="198"/>
      <c r="AR1197" s="596"/>
      <c r="AS1197" s="596"/>
      <c r="AT1197" s="596"/>
      <c r="AU1197" s="596"/>
      <c r="AV1197" s="596"/>
      <c r="AW1197" s="596"/>
      <c r="AX1197" s="596"/>
    </row>
    <row r="1198" spans="4:50" x14ac:dyDescent="0.3">
      <c r="D1198" s="244"/>
      <c r="E1198" s="355" t="str">
        <f>IF(OR(M1198="",M1198=0,J1198="",G1198=""),"",
(IF(AND(F1196=$P$4,M1198&lt;=$R$4),$V$4,0)+IF(AND(F1196=$P$5,M1198&lt;=$R$5),$V$5,0)+IF(AND(F1196=$P$6,M1198&lt;=$R$6),$V$6,0)+IF(AND(F1196=$P$7,M1198&lt;=$R$7),$V$7,0))
)</f>
        <v/>
      </c>
      <c r="F1198" s="153" t="s">
        <v>302</v>
      </c>
      <c r="G1198" s="616"/>
      <c r="H1198" s="617"/>
      <c r="I1198" s="618"/>
      <c r="J1198" s="616"/>
      <c r="K1198" s="617"/>
      <c r="L1198" s="618"/>
      <c r="M1198" s="255"/>
      <c r="N1198" s="256"/>
      <c r="O1198" s="388"/>
      <c r="P1198" s="185">
        <f t="shared" ref="P1198" si="1535">IF(F1196="",0,1)</f>
        <v>0</v>
      </c>
      <c r="R1198" s="185" t="str">
        <f t="shared" ref="R1198" si="1536">E1198</f>
        <v/>
      </c>
      <c r="S1198" s="185" t="str">
        <f t="shared" ref="S1198" si="1537">E1199</f>
        <v/>
      </c>
      <c r="T1198" s="185" t="str">
        <f t="shared" ref="T1198" si="1538">E1200</f>
        <v/>
      </c>
      <c r="U1198" s="185" t="str">
        <f t="shared" ref="U1198" si="1539">E1201</f>
        <v/>
      </c>
      <c r="V1198" s="185" t="str">
        <f t="shared" ref="V1198" si="1540">E1202</f>
        <v/>
      </c>
      <c r="W1198" s="185" t="str">
        <f t="shared" ref="W1198" si="1541">E1203</f>
        <v/>
      </c>
      <c r="X1198" s="185" t="str">
        <f t="shared" ref="X1198" si="1542">E1204</f>
        <v/>
      </c>
      <c r="AD1198" s="244"/>
      <c r="AE1198" s="355" t="str">
        <f>IF(OR(AM1198="",AM1198=0,AJ1198="",AG1198=""),"",
(IF(AND(AF1196=$P$4,AM1198&lt;=$R$4),$V$4,0)+IF(AND(AF1196=$P$5,AM1198&lt;=$R$5),$V$5,0)+IF(AND(AF1196=$P$6,AM1198&lt;=$R$6),$V$6,0)+IF(AND(AF1196=$P$7,AM1198&lt;=$R$7),$V$7,0))
)</f>
        <v/>
      </c>
      <c r="AF1198" s="153" t="s">
        <v>302</v>
      </c>
      <c r="AG1198" s="598"/>
      <c r="AH1198" s="599"/>
      <c r="AI1198" s="600"/>
      <c r="AJ1198" s="598"/>
      <c r="AK1198" s="599"/>
      <c r="AL1198" s="600"/>
      <c r="AM1198" s="384"/>
      <c r="AN1198" s="256"/>
      <c r="AO1198" s="388"/>
      <c r="AP1198" s="185">
        <f t="shared" ref="AP1198" si="1543">IF(AF1196="",0,1)</f>
        <v>0</v>
      </c>
      <c r="AR1198" s="185" t="str">
        <f t="shared" ref="AR1198" si="1544">AE1198</f>
        <v/>
      </c>
      <c r="AS1198" s="185" t="str">
        <f t="shared" ref="AS1198" si="1545">AE1199</f>
        <v/>
      </c>
      <c r="AT1198" s="185" t="str">
        <f t="shared" ref="AT1198" si="1546">AE1200</f>
        <v/>
      </c>
      <c r="AU1198" s="185" t="str">
        <f t="shared" ref="AU1198" si="1547">AE1201</f>
        <v/>
      </c>
      <c r="AV1198" s="185" t="str">
        <f t="shared" ref="AV1198" si="1548">AE1202</f>
        <v/>
      </c>
      <c r="AW1198" s="185" t="str">
        <f t="shared" ref="AW1198" si="1549">AE1203</f>
        <v/>
      </c>
      <c r="AX1198" s="185" t="str">
        <f t="shared" ref="AX1198" si="1550">AE1204</f>
        <v/>
      </c>
    </row>
    <row r="1199" spans="4:50" x14ac:dyDescent="0.3">
      <c r="D1199" s="244"/>
      <c r="E1199" s="341" t="str">
        <f>IF(OR(M1199="",M1199=0,J1199="",G1199=""),"",
(IF(AND(F1196=$P$4,M1199&lt;=$R$4),$V$4,0)+IF(AND(F1196=$P$5,M1199&lt;=$R$5),$V$5,0)+IF(AND(F1196=$P$6,M1199&lt;=$R$6),$V$6,0)+IF(AND(F1196=$P$7,M1199&lt;=$R$7),$V$7,0))
)</f>
        <v/>
      </c>
      <c r="F1199" s="153" t="s">
        <v>303</v>
      </c>
      <c r="G1199" s="616"/>
      <c r="H1199" s="617"/>
      <c r="I1199" s="618"/>
      <c r="J1199" s="616"/>
      <c r="K1199" s="617"/>
      <c r="L1199" s="618"/>
      <c r="M1199" s="255"/>
      <c r="N1199" s="256"/>
      <c r="O1199" s="388"/>
      <c r="AD1199" s="244"/>
      <c r="AE1199" s="341" t="str">
        <f>IF(OR(AM1199="",AM1199=0,AJ1199="",AG1199=""),"",
(IF(AND(AF1196=$P$4,AM1199&lt;=$R$4),$V$4,0)+IF(AND(AF1196=$P$5,AM1199&lt;=$R$5),$V$5,0)+IF(AND(AF1196=$P$6,AM1199&lt;=$R$6),$V$6,0)+IF(AND(AF1196=$P$7,AM1199&lt;=$R$7),$V$7,0))
)</f>
        <v/>
      </c>
      <c r="AF1199" s="153" t="s">
        <v>303</v>
      </c>
      <c r="AG1199" s="598"/>
      <c r="AH1199" s="599"/>
      <c r="AI1199" s="600"/>
      <c r="AJ1199" s="598"/>
      <c r="AK1199" s="599"/>
      <c r="AL1199" s="600"/>
      <c r="AM1199" s="384"/>
      <c r="AN1199" s="256"/>
      <c r="AO1199" s="388"/>
    </row>
    <row r="1200" spans="4:50" x14ac:dyDescent="0.3">
      <c r="D1200" s="244"/>
      <c r="E1200" s="341" t="str">
        <f>IF(OR(M1200="",M1200=0,J1200="",G1200=""),"",
(IF(AND(F1196=$P$4,M1200&lt;=$R$4),$V$4,0)+IF(AND(F1196=$P$5,M1200&lt;=$R$5),$V$5,0)+IF(AND(F1196=$P$6,M1200&lt;=$R$6),$V$6,0)+IF(AND(F1196=$P$7,M1200&lt;=$R$7),$V$7,0))
)</f>
        <v/>
      </c>
      <c r="F1200" s="153" t="s">
        <v>304</v>
      </c>
      <c r="G1200" s="616"/>
      <c r="H1200" s="617"/>
      <c r="I1200" s="618"/>
      <c r="J1200" s="616"/>
      <c r="K1200" s="617"/>
      <c r="L1200" s="618"/>
      <c r="M1200" s="255"/>
      <c r="N1200" s="256"/>
      <c r="O1200" s="388"/>
      <c r="AD1200" s="244"/>
      <c r="AE1200" s="341" t="str">
        <f>IF(OR(AM1200="",AM1200=0,AJ1200="",AG1200=""),"",
(IF(AND(AF1196=$P$4,AM1200&lt;=$R$4),$V$4,0)+IF(AND(AF1196=$P$5,AM1200&lt;=$R$5),$V$5,0)+IF(AND(AF1196=$P$6,AM1200&lt;=$R$6),$V$6,0)+IF(AND(AF1196=$P$7,AM1200&lt;=$R$7),$V$7,0))
)</f>
        <v/>
      </c>
      <c r="AF1200" s="153" t="s">
        <v>304</v>
      </c>
      <c r="AG1200" s="598"/>
      <c r="AH1200" s="599"/>
      <c r="AI1200" s="600"/>
      <c r="AJ1200" s="598"/>
      <c r="AK1200" s="599"/>
      <c r="AL1200" s="600"/>
      <c r="AM1200" s="384"/>
      <c r="AN1200" s="256"/>
      <c r="AO1200" s="388"/>
    </row>
    <row r="1201" spans="4:50" x14ac:dyDescent="0.3">
      <c r="D1201" s="244"/>
      <c r="E1201" s="341" t="str">
        <f>IF(OR(M1201="",M1201=0,J1201="",G1201=""),"",
(IF(AND(F1196=$P$4,M1201&lt;=$R$4),$V$4,0)+IF(AND(F1196=$P$5,M1201&lt;=$R$5),$V$5,0)+IF(AND(F1196=$P$6,M1201&lt;=$R$6),$V$6,0)+IF(AND(F1196=$P$7,M1201&lt;=$R$7),$V$7,0))
)</f>
        <v/>
      </c>
      <c r="F1201" s="153" t="s">
        <v>305</v>
      </c>
      <c r="G1201" s="616"/>
      <c r="H1201" s="617"/>
      <c r="I1201" s="618"/>
      <c r="J1201" s="616"/>
      <c r="K1201" s="617"/>
      <c r="L1201" s="618"/>
      <c r="M1201" s="255"/>
      <c r="N1201" s="256"/>
      <c r="O1201" s="388"/>
      <c r="AD1201" s="244"/>
      <c r="AE1201" s="341" t="str">
        <f>IF(OR(AM1201="",AM1201=0,AJ1201="",AG1201=""),"",
(IF(AND(AF1196=$P$4,AM1201&lt;=$R$4),$V$4,0)+IF(AND(AF1196=$P$5,AM1201&lt;=$R$5),$V$5,0)+IF(AND(AF1196=$P$6,AM1201&lt;=$R$6),$V$6,0)+IF(AND(AF1196=$P$7,AM1201&lt;=$R$7),$V$7,0))
)</f>
        <v/>
      </c>
      <c r="AF1201" s="153" t="s">
        <v>305</v>
      </c>
      <c r="AG1201" s="598"/>
      <c r="AH1201" s="599"/>
      <c r="AI1201" s="600"/>
      <c r="AJ1201" s="598"/>
      <c r="AK1201" s="599"/>
      <c r="AL1201" s="600"/>
      <c r="AM1201" s="384"/>
      <c r="AN1201" s="256"/>
      <c r="AO1201" s="388"/>
    </row>
    <row r="1202" spans="4:50" x14ac:dyDescent="0.3">
      <c r="D1202" s="244"/>
      <c r="E1202" s="341" t="str">
        <f>IF(OR(M1202="",M1202=0,J1202="",G1202=""),"",
(IF(AND(F1196=$P$4,M1202&lt;=$R$4),$V$4,0)+IF(AND(F1196=$P$5,M1202&lt;=$R$5),$V$5,0)+IF(AND(F1196=$P$6,M1202&lt;=$R$6),$V$6,0)+IF(AND(F1196=$P$7,M1202&lt;=$R$7),$V$7,0))
)</f>
        <v/>
      </c>
      <c r="F1202" s="153" t="s">
        <v>306</v>
      </c>
      <c r="G1202" s="616"/>
      <c r="H1202" s="617"/>
      <c r="I1202" s="618"/>
      <c r="J1202" s="616"/>
      <c r="K1202" s="617"/>
      <c r="L1202" s="618"/>
      <c r="M1202" s="255"/>
      <c r="N1202" s="256"/>
      <c r="O1202" s="388"/>
      <c r="AD1202" s="244"/>
      <c r="AE1202" s="341" t="str">
        <f>IF(OR(AM1202="",AM1202=0,AJ1202="",AG1202=""),"",
(IF(AND(AF1196=$P$4,AM1202&lt;=$R$4),$V$4,0)+IF(AND(AF1196=$P$5,AM1202&lt;=$R$5),$V$5,0)+IF(AND(AF1196=$P$6,AM1202&lt;=$R$6),$V$6,0)+IF(AND(AF1196=$P$7,AM1202&lt;=$R$7),$V$7,0))
)</f>
        <v/>
      </c>
      <c r="AF1202" s="153" t="s">
        <v>306</v>
      </c>
      <c r="AG1202" s="598"/>
      <c r="AH1202" s="599"/>
      <c r="AI1202" s="600"/>
      <c r="AJ1202" s="598"/>
      <c r="AK1202" s="599"/>
      <c r="AL1202" s="600"/>
      <c r="AM1202" s="384"/>
      <c r="AN1202" s="256"/>
      <c r="AO1202" s="388"/>
    </row>
    <row r="1203" spans="4:50" x14ac:dyDescent="0.3">
      <c r="D1203" s="244"/>
      <c r="E1203" s="341" t="str">
        <f>IF(OR(M1203="",M1203=0,J1203="",G1203=""),"",
(IF(AND(F1196=$P$4,M1203&lt;=$R$4),$V$4,0)+IF(AND(F1196=$P$5,M1203&lt;=$R$5),$V$5,0)+IF(AND(F1196=$P$6,M1203&lt;=$R$6),$V$6,0)+IF(AND(F1196=$P$7,M1203&lt;=$R$7),$V$7,0))
)</f>
        <v/>
      </c>
      <c r="F1203" s="153" t="s">
        <v>307</v>
      </c>
      <c r="G1203" s="616"/>
      <c r="H1203" s="617"/>
      <c r="I1203" s="618"/>
      <c r="J1203" s="616"/>
      <c r="K1203" s="617"/>
      <c r="L1203" s="618"/>
      <c r="M1203" s="255"/>
      <c r="N1203" s="256"/>
      <c r="O1203" s="388"/>
      <c r="AD1203" s="244"/>
      <c r="AE1203" s="341" t="str">
        <f>IF(OR(AM1203="",AM1203=0,AJ1203="",AG1203=""),"",
(IF(AND(AF1196=$P$4,AM1203&lt;=$R$4),$V$4,0)+IF(AND(AF1196=$P$5,AM1203&lt;=$R$5),$V$5,0)+IF(AND(AF1196=$P$6,AM1203&lt;=$R$6),$V$6,0)+IF(AND(AF1196=$P$7,AM1203&lt;=$R$7),$V$7,0))
)</f>
        <v/>
      </c>
      <c r="AF1203" s="153" t="s">
        <v>307</v>
      </c>
      <c r="AG1203" s="598"/>
      <c r="AH1203" s="599"/>
      <c r="AI1203" s="600"/>
      <c r="AJ1203" s="598"/>
      <c r="AK1203" s="599"/>
      <c r="AL1203" s="600"/>
      <c r="AM1203" s="384"/>
      <c r="AN1203" s="256"/>
      <c r="AO1203" s="388"/>
    </row>
    <row r="1204" spans="4:50" x14ac:dyDescent="0.3">
      <c r="D1204" s="244"/>
      <c r="E1204" s="341" t="str">
        <f>IF(OR(M1204="",M1204=0,J1204="",G1204=""),"",
(IF(AND(F1196=$P$4,M1204&lt;=$R$4),$V$4,0)+IF(AND(F1196=$P$5,M1204&lt;=$R$5),$V$5,0)+IF(AND(F1196=$P$6,M1204&lt;=$R$6),$V$6,0)+IF(AND(F1196=$P$7,M1204&lt;=$R$7),$V$7,0))
)</f>
        <v/>
      </c>
      <c r="F1204" s="153" t="s">
        <v>308</v>
      </c>
      <c r="G1204" s="616"/>
      <c r="H1204" s="617"/>
      <c r="I1204" s="618"/>
      <c r="J1204" s="616"/>
      <c r="K1204" s="617"/>
      <c r="L1204" s="618"/>
      <c r="M1204" s="255"/>
      <c r="N1204" s="256"/>
      <c r="O1204" s="388"/>
      <c r="AD1204" s="244"/>
      <c r="AE1204" s="341" t="str">
        <f>IF(OR(AM1204="",AM1204=0,AJ1204="",AG1204=""),"",
(IF(AND(AF1196=$P$4,AM1204&lt;=$R$4),$V$4,0)+IF(AND(AF1196=$P$5,AM1204&lt;=$R$5),$V$5,0)+IF(AND(AF1196=$P$6,AM1204&lt;=$R$6),$V$6,0)+IF(AND(AF1196=$P$7,AM1204&lt;=$R$7),$V$7,0))
)</f>
        <v/>
      </c>
      <c r="AF1204" s="153" t="s">
        <v>308</v>
      </c>
      <c r="AG1204" s="598"/>
      <c r="AH1204" s="599"/>
      <c r="AI1204" s="600"/>
      <c r="AJ1204" s="598"/>
      <c r="AK1204" s="599"/>
      <c r="AL1204" s="600"/>
      <c r="AM1204" s="384"/>
      <c r="AN1204" s="256"/>
      <c r="AO1204" s="388"/>
    </row>
    <row r="1205" spans="4:50" ht="16.2" thickBot="1" x14ac:dyDescent="0.35">
      <c r="D1205" s="203"/>
      <c r="E1205" s="3"/>
      <c r="F1205" s="3"/>
      <c r="G1205" s="3"/>
      <c r="H1205" s="3"/>
      <c r="I1205" s="3"/>
      <c r="J1205" s="3"/>
      <c r="K1205" s="3"/>
      <c r="L1205" s="3"/>
      <c r="M1205" s="3"/>
      <c r="N1205" s="204"/>
      <c r="P1205" s="2"/>
      <c r="AD1205" s="203"/>
      <c r="AE1205" s="3"/>
      <c r="AF1205" s="3"/>
      <c r="AG1205" s="3"/>
      <c r="AH1205" s="3"/>
      <c r="AI1205" s="3"/>
      <c r="AJ1205" s="3"/>
      <c r="AK1205" s="3"/>
      <c r="AL1205" s="3"/>
      <c r="AM1205" s="3"/>
      <c r="AN1205" s="204"/>
      <c r="AP1205" s="2"/>
    </row>
    <row r="1206" spans="4:50" x14ac:dyDescent="0.3">
      <c r="D1206" s="601" t="str">
        <f>IF(
OR(
OR(F1208=$P$4,F1208=$P$5,F1208=$P$6,F1208=$P$7),AND(G1210="",G1211="",G1212="",G1213="",G1214="",G1215="",G1216="",J1210="",J1211="",J1212="",J1213="",J1214="",J1215="",J1216="",M1210="",M1211="",M1212="",M1213="",M1214="",M1215="",M1216="",K1207="",K1208="")
),
"",
"A Set-Aside must be selected."
)</f>
        <v/>
      </c>
      <c r="E1206" s="602"/>
      <c r="F1206" s="602"/>
      <c r="G1206" s="602"/>
      <c r="H1206" s="602"/>
      <c r="I1206" s="602"/>
      <c r="J1206" s="602"/>
      <c r="K1206" s="602"/>
      <c r="L1206" s="602"/>
      <c r="M1206" s="602"/>
      <c r="N1206" s="603"/>
      <c r="O1206" s="2"/>
      <c r="AD1206" s="601" t="str">
        <f>IF(
OR(
OR(AF1208=$P$4,AF1208=$P$5,AF1208=$P$6,AF1208=$P$7),AND(AG1210="",AG1211="",AG1212="",AG1213="",AG1214="",AG1215="",AG1216="",AJ1210="",AJ1211="",AJ1212="",AJ1213="",AJ1214="",AJ1215="",AJ1216="",AM1210="",AM1211="",AM1212="",AM1213="",AM1214="",AM1215="",AM1216="",AK1207="",AK1208="")
),
"",
"A Set-Aside must be selected."
)</f>
        <v/>
      </c>
      <c r="AE1206" s="602"/>
      <c r="AF1206" s="602"/>
      <c r="AG1206" s="602"/>
      <c r="AH1206" s="602"/>
      <c r="AI1206" s="602"/>
      <c r="AJ1206" s="602"/>
      <c r="AK1206" s="602"/>
      <c r="AL1206" s="602"/>
      <c r="AM1206" s="602"/>
      <c r="AN1206" s="603"/>
      <c r="AO1206" s="2"/>
    </row>
    <row r="1207" spans="4:50" ht="15.75" customHeight="1" x14ac:dyDescent="0.3">
      <c r="D1207" s="199"/>
      <c r="E1207" s="9" t="s">
        <v>30</v>
      </c>
      <c r="F1207" s="86">
        <f>F1195+1</f>
        <v>98</v>
      </c>
      <c r="G1207" s="9" t="s">
        <v>175</v>
      </c>
      <c r="H1207" s="9"/>
      <c r="I1207" s="9"/>
      <c r="J1207" s="168" t="s">
        <v>111</v>
      </c>
      <c r="K1207" s="148"/>
      <c r="N1207" s="200"/>
      <c r="R1207" s="596" t="s">
        <v>302</v>
      </c>
      <c r="S1207" s="596" t="s">
        <v>303</v>
      </c>
      <c r="T1207" s="596" t="s">
        <v>304</v>
      </c>
      <c r="U1207" s="596" t="s">
        <v>305</v>
      </c>
      <c r="V1207" s="596" t="s">
        <v>306</v>
      </c>
      <c r="W1207" s="596" t="s">
        <v>307</v>
      </c>
      <c r="X1207" s="596" t="s">
        <v>308</v>
      </c>
      <c r="AD1207" s="199"/>
      <c r="AE1207" s="9" t="s">
        <v>30</v>
      </c>
      <c r="AF1207" s="86">
        <f>AF1195+1</f>
        <v>98</v>
      </c>
      <c r="AG1207" s="9" t="s">
        <v>175</v>
      </c>
      <c r="AH1207" s="9"/>
      <c r="AI1207" s="9"/>
      <c r="AJ1207" s="168" t="s">
        <v>111</v>
      </c>
      <c r="AK1207" s="382"/>
      <c r="AN1207" s="200"/>
      <c r="AR1207" s="596" t="s">
        <v>302</v>
      </c>
      <c r="AS1207" s="596" t="s">
        <v>303</v>
      </c>
      <c r="AT1207" s="596" t="s">
        <v>304</v>
      </c>
      <c r="AU1207" s="596" t="s">
        <v>305</v>
      </c>
      <c r="AV1207" s="596" t="s">
        <v>306</v>
      </c>
      <c r="AW1207" s="596" t="s">
        <v>307</v>
      </c>
      <c r="AX1207" s="596" t="s">
        <v>308</v>
      </c>
    </row>
    <row r="1208" spans="4:50" x14ac:dyDescent="0.3">
      <c r="D1208" s="604" t="s">
        <v>31</v>
      </c>
      <c r="E1208" s="594"/>
      <c r="F1208" s="151"/>
      <c r="G1208" s="86" t="str">
        <f>IF(F1208=$P$4,$Q$4,IF(F1208=$P$5,$Q$5,IF(F1208=$P$6,$Q$6,IF(F1208=$P$7,Q$7,IF(F1208=$P$8,"","")))))</f>
        <v/>
      </c>
      <c r="H1208" s="201"/>
      <c r="I1208" s="201"/>
      <c r="J1208" s="168" t="s">
        <v>112</v>
      </c>
      <c r="K1208" s="148"/>
      <c r="N1208" s="200"/>
      <c r="R1208" s="596"/>
      <c r="S1208" s="596"/>
      <c r="T1208" s="596"/>
      <c r="U1208" s="596"/>
      <c r="V1208" s="596"/>
      <c r="W1208" s="596"/>
      <c r="X1208" s="596"/>
      <c r="AD1208" s="604" t="s">
        <v>31</v>
      </c>
      <c r="AE1208" s="594"/>
      <c r="AF1208" s="383"/>
      <c r="AG1208" s="86" t="str">
        <f>IF(AF1208=$P$4,$Q$4,IF(AF1208=$P$5,$Q$5,IF(AF1208=$P$6,$Q$6,IF(AF1208=$P$7,AQ$7,IF(AF1208=$P$8,"","")))))</f>
        <v/>
      </c>
      <c r="AH1208" s="201"/>
      <c r="AI1208" s="201"/>
      <c r="AJ1208" s="168" t="s">
        <v>112</v>
      </c>
      <c r="AK1208" s="382"/>
      <c r="AN1208" s="200"/>
      <c r="AR1208" s="596"/>
      <c r="AS1208" s="596"/>
      <c r="AT1208" s="596"/>
      <c r="AU1208" s="596"/>
      <c r="AV1208" s="596"/>
      <c r="AW1208" s="596"/>
      <c r="AX1208" s="596"/>
    </row>
    <row r="1209" spans="4:50" x14ac:dyDescent="0.3">
      <c r="D1209" s="244"/>
      <c r="E1209" s="230" t="s">
        <v>52</v>
      </c>
      <c r="F1209" s="9" t="s">
        <v>32</v>
      </c>
      <c r="G1209" s="9" t="s">
        <v>33</v>
      </c>
      <c r="H1209" s="9"/>
      <c r="I1209" s="9"/>
      <c r="J1209" s="9" t="s">
        <v>34</v>
      </c>
      <c r="K1209" s="9"/>
      <c r="L1209" s="9"/>
      <c r="M1209" s="257" t="s">
        <v>35</v>
      </c>
      <c r="N1209" s="202"/>
      <c r="O1209" s="9"/>
      <c r="P1209" s="198" t="s">
        <v>22</v>
      </c>
      <c r="Q1209" s="198"/>
      <c r="R1209" s="596"/>
      <c r="S1209" s="596"/>
      <c r="T1209" s="596"/>
      <c r="U1209" s="596"/>
      <c r="V1209" s="596"/>
      <c r="W1209" s="596"/>
      <c r="X1209" s="596"/>
      <c r="AD1209" s="244"/>
      <c r="AE1209" s="230" t="s">
        <v>52</v>
      </c>
      <c r="AF1209" s="9" t="s">
        <v>32</v>
      </c>
      <c r="AG1209" s="9" t="s">
        <v>33</v>
      </c>
      <c r="AH1209" s="9"/>
      <c r="AI1209" s="9"/>
      <c r="AJ1209" s="9" t="s">
        <v>34</v>
      </c>
      <c r="AK1209" s="9"/>
      <c r="AL1209" s="9"/>
      <c r="AM1209" s="257" t="s">
        <v>35</v>
      </c>
      <c r="AN1209" s="202"/>
      <c r="AO1209" s="9"/>
      <c r="AP1209" s="198" t="s">
        <v>22</v>
      </c>
      <c r="AQ1209" s="198"/>
      <c r="AR1209" s="596"/>
      <c r="AS1209" s="596"/>
      <c r="AT1209" s="596"/>
      <c r="AU1209" s="596"/>
      <c r="AV1209" s="596"/>
      <c r="AW1209" s="596"/>
      <c r="AX1209" s="596"/>
    </row>
    <row r="1210" spans="4:50" x14ac:dyDescent="0.3">
      <c r="D1210" s="244"/>
      <c r="E1210" s="355" t="str">
        <f>IF(OR(M1210="",M1210=0,J1210="",G1210=""),"",
(IF(AND(F1208=$P$4,M1210&lt;=$R$4),$V$4,0)+IF(AND(F1208=$P$5,M1210&lt;=$R$5),$V$5,0)+IF(AND(F1208=$P$6,M1210&lt;=$R$6),$V$6,0)+IF(AND(F1208=$P$7,M1210&lt;=$R$7),$V$7,0))
)</f>
        <v/>
      </c>
      <c r="F1210" s="153" t="s">
        <v>302</v>
      </c>
      <c r="G1210" s="616"/>
      <c r="H1210" s="617"/>
      <c r="I1210" s="618"/>
      <c r="J1210" s="616"/>
      <c r="K1210" s="617"/>
      <c r="L1210" s="618"/>
      <c r="M1210" s="255"/>
      <c r="N1210" s="256"/>
      <c r="O1210" s="388"/>
      <c r="P1210" s="185">
        <f t="shared" ref="P1210" si="1551">IF(F1208="",0,1)</f>
        <v>0</v>
      </c>
      <c r="R1210" s="185" t="str">
        <f t="shared" ref="R1210" si="1552">E1210</f>
        <v/>
      </c>
      <c r="S1210" s="185" t="str">
        <f t="shared" ref="S1210" si="1553">E1211</f>
        <v/>
      </c>
      <c r="T1210" s="185" t="str">
        <f t="shared" ref="T1210" si="1554">E1212</f>
        <v/>
      </c>
      <c r="U1210" s="185" t="str">
        <f t="shared" ref="U1210" si="1555">E1213</f>
        <v/>
      </c>
      <c r="V1210" s="185" t="str">
        <f t="shared" ref="V1210" si="1556">E1214</f>
        <v/>
      </c>
      <c r="W1210" s="185" t="str">
        <f t="shared" ref="W1210" si="1557">E1215</f>
        <v/>
      </c>
      <c r="X1210" s="185" t="str">
        <f t="shared" ref="X1210" si="1558">E1216</f>
        <v/>
      </c>
      <c r="AD1210" s="244"/>
      <c r="AE1210" s="355" t="str">
        <f>IF(OR(AM1210="",AM1210=0,AJ1210="",AG1210=""),"",
(IF(AND(AF1208=$P$4,AM1210&lt;=$R$4),$V$4,0)+IF(AND(AF1208=$P$5,AM1210&lt;=$R$5),$V$5,0)+IF(AND(AF1208=$P$6,AM1210&lt;=$R$6),$V$6,0)+IF(AND(AF1208=$P$7,AM1210&lt;=$R$7),$V$7,0))
)</f>
        <v/>
      </c>
      <c r="AF1210" s="153" t="s">
        <v>302</v>
      </c>
      <c r="AG1210" s="598"/>
      <c r="AH1210" s="599"/>
      <c r="AI1210" s="600"/>
      <c r="AJ1210" s="598"/>
      <c r="AK1210" s="599"/>
      <c r="AL1210" s="600"/>
      <c r="AM1210" s="384"/>
      <c r="AN1210" s="256"/>
      <c r="AO1210" s="388"/>
      <c r="AP1210" s="185">
        <f t="shared" ref="AP1210" si="1559">IF(AF1208="",0,1)</f>
        <v>0</v>
      </c>
      <c r="AR1210" s="185" t="str">
        <f t="shared" ref="AR1210" si="1560">AE1210</f>
        <v/>
      </c>
      <c r="AS1210" s="185" t="str">
        <f t="shared" ref="AS1210" si="1561">AE1211</f>
        <v/>
      </c>
      <c r="AT1210" s="185" t="str">
        <f t="shared" ref="AT1210" si="1562">AE1212</f>
        <v/>
      </c>
      <c r="AU1210" s="185" t="str">
        <f t="shared" ref="AU1210" si="1563">AE1213</f>
        <v/>
      </c>
      <c r="AV1210" s="185" t="str">
        <f t="shared" ref="AV1210" si="1564">AE1214</f>
        <v/>
      </c>
      <c r="AW1210" s="185" t="str">
        <f t="shared" ref="AW1210" si="1565">AE1215</f>
        <v/>
      </c>
      <c r="AX1210" s="185" t="str">
        <f t="shared" ref="AX1210" si="1566">AE1216</f>
        <v/>
      </c>
    </row>
    <row r="1211" spans="4:50" x14ac:dyDescent="0.3">
      <c r="D1211" s="244"/>
      <c r="E1211" s="341" t="str">
        <f>IF(OR(M1211="",M1211=0,J1211="",G1211=""),"",
(IF(AND(F1208=$P$4,M1211&lt;=$R$4),$V$4,0)+IF(AND(F1208=$P$5,M1211&lt;=$R$5),$V$5,0)+IF(AND(F1208=$P$6,M1211&lt;=$R$6),$V$6,0)+IF(AND(F1208=$P$7,M1211&lt;=$R$7),$V$7,0))
)</f>
        <v/>
      </c>
      <c r="F1211" s="153" t="s">
        <v>303</v>
      </c>
      <c r="G1211" s="616"/>
      <c r="H1211" s="617"/>
      <c r="I1211" s="618"/>
      <c r="J1211" s="616"/>
      <c r="K1211" s="617"/>
      <c r="L1211" s="618"/>
      <c r="M1211" s="255"/>
      <c r="N1211" s="256"/>
      <c r="O1211" s="388"/>
      <c r="AD1211" s="244"/>
      <c r="AE1211" s="341" t="str">
        <f>IF(OR(AM1211="",AM1211=0,AJ1211="",AG1211=""),"",
(IF(AND(AF1208=$P$4,AM1211&lt;=$R$4),$V$4,0)+IF(AND(AF1208=$P$5,AM1211&lt;=$R$5),$V$5,0)+IF(AND(AF1208=$P$6,AM1211&lt;=$R$6),$V$6,0)+IF(AND(AF1208=$P$7,AM1211&lt;=$R$7),$V$7,0))
)</f>
        <v/>
      </c>
      <c r="AF1211" s="153" t="s">
        <v>303</v>
      </c>
      <c r="AG1211" s="598"/>
      <c r="AH1211" s="599"/>
      <c r="AI1211" s="600"/>
      <c r="AJ1211" s="598"/>
      <c r="AK1211" s="599"/>
      <c r="AL1211" s="600"/>
      <c r="AM1211" s="384"/>
      <c r="AN1211" s="256"/>
      <c r="AO1211" s="388"/>
    </row>
    <row r="1212" spans="4:50" x14ac:dyDescent="0.3">
      <c r="D1212" s="244"/>
      <c r="E1212" s="341" t="str">
        <f>IF(OR(M1212="",M1212=0,J1212="",G1212=""),"",
(IF(AND(F1208=$P$4,M1212&lt;=$R$4),$V$4,0)+IF(AND(F1208=$P$5,M1212&lt;=$R$5),$V$5,0)+IF(AND(F1208=$P$6,M1212&lt;=$R$6),$V$6,0)+IF(AND(F1208=$P$7,M1212&lt;=$R$7),$V$7,0))
)</f>
        <v/>
      </c>
      <c r="F1212" s="153" t="s">
        <v>304</v>
      </c>
      <c r="G1212" s="616"/>
      <c r="H1212" s="617"/>
      <c r="I1212" s="618"/>
      <c r="J1212" s="616"/>
      <c r="K1212" s="617"/>
      <c r="L1212" s="618"/>
      <c r="M1212" s="255"/>
      <c r="N1212" s="256"/>
      <c r="O1212" s="388"/>
      <c r="AD1212" s="244"/>
      <c r="AE1212" s="341" t="str">
        <f>IF(OR(AM1212="",AM1212=0,AJ1212="",AG1212=""),"",
(IF(AND(AF1208=$P$4,AM1212&lt;=$R$4),$V$4,0)+IF(AND(AF1208=$P$5,AM1212&lt;=$R$5),$V$5,0)+IF(AND(AF1208=$P$6,AM1212&lt;=$R$6),$V$6,0)+IF(AND(AF1208=$P$7,AM1212&lt;=$R$7),$V$7,0))
)</f>
        <v/>
      </c>
      <c r="AF1212" s="153" t="s">
        <v>304</v>
      </c>
      <c r="AG1212" s="598"/>
      <c r="AH1212" s="599"/>
      <c r="AI1212" s="600"/>
      <c r="AJ1212" s="598"/>
      <c r="AK1212" s="599"/>
      <c r="AL1212" s="600"/>
      <c r="AM1212" s="384"/>
      <c r="AN1212" s="256"/>
      <c r="AO1212" s="388"/>
    </row>
    <row r="1213" spans="4:50" x14ac:dyDescent="0.3">
      <c r="D1213" s="244"/>
      <c r="E1213" s="341" t="str">
        <f>IF(OR(M1213="",M1213=0,J1213="",G1213=""),"",
(IF(AND(F1208=$P$4,M1213&lt;=$R$4),$V$4,0)+IF(AND(F1208=$P$5,M1213&lt;=$R$5),$V$5,0)+IF(AND(F1208=$P$6,M1213&lt;=$R$6),$V$6,0)+IF(AND(F1208=$P$7,M1213&lt;=$R$7),$V$7,0))
)</f>
        <v/>
      </c>
      <c r="F1213" s="153" t="s">
        <v>305</v>
      </c>
      <c r="G1213" s="616"/>
      <c r="H1213" s="617"/>
      <c r="I1213" s="618"/>
      <c r="J1213" s="616"/>
      <c r="K1213" s="617"/>
      <c r="L1213" s="618"/>
      <c r="M1213" s="255"/>
      <c r="N1213" s="256"/>
      <c r="O1213" s="388"/>
      <c r="AD1213" s="244"/>
      <c r="AE1213" s="341" t="str">
        <f>IF(OR(AM1213="",AM1213=0,AJ1213="",AG1213=""),"",
(IF(AND(AF1208=$P$4,AM1213&lt;=$R$4),$V$4,0)+IF(AND(AF1208=$P$5,AM1213&lt;=$R$5),$V$5,0)+IF(AND(AF1208=$P$6,AM1213&lt;=$R$6),$V$6,0)+IF(AND(AF1208=$P$7,AM1213&lt;=$R$7),$V$7,0))
)</f>
        <v/>
      </c>
      <c r="AF1213" s="153" t="s">
        <v>305</v>
      </c>
      <c r="AG1213" s="598"/>
      <c r="AH1213" s="599"/>
      <c r="AI1213" s="600"/>
      <c r="AJ1213" s="598"/>
      <c r="AK1213" s="599"/>
      <c r="AL1213" s="600"/>
      <c r="AM1213" s="384"/>
      <c r="AN1213" s="256"/>
      <c r="AO1213" s="388"/>
    </row>
    <row r="1214" spans="4:50" x14ac:dyDescent="0.3">
      <c r="D1214" s="244"/>
      <c r="E1214" s="341" t="str">
        <f>IF(OR(M1214="",M1214=0,J1214="",G1214=""),"",
(IF(AND(F1208=$P$4,M1214&lt;=$R$4),$V$4,0)+IF(AND(F1208=$P$5,M1214&lt;=$R$5),$V$5,0)+IF(AND(F1208=$P$6,M1214&lt;=$R$6),$V$6,0)+IF(AND(F1208=$P$7,M1214&lt;=$R$7),$V$7,0))
)</f>
        <v/>
      </c>
      <c r="F1214" s="153" t="s">
        <v>306</v>
      </c>
      <c r="G1214" s="616"/>
      <c r="H1214" s="617"/>
      <c r="I1214" s="618"/>
      <c r="J1214" s="616"/>
      <c r="K1214" s="617"/>
      <c r="L1214" s="618"/>
      <c r="M1214" s="255"/>
      <c r="N1214" s="256"/>
      <c r="O1214" s="388"/>
      <c r="AD1214" s="244"/>
      <c r="AE1214" s="341" t="str">
        <f>IF(OR(AM1214="",AM1214=0,AJ1214="",AG1214=""),"",
(IF(AND(AF1208=$P$4,AM1214&lt;=$R$4),$V$4,0)+IF(AND(AF1208=$P$5,AM1214&lt;=$R$5),$V$5,0)+IF(AND(AF1208=$P$6,AM1214&lt;=$R$6),$V$6,0)+IF(AND(AF1208=$P$7,AM1214&lt;=$R$7),$V$7,0))
)</f>
        <v/>
      </c>
      <c r="AF1214" s="153" t="s">
        <v>306</v>
      </c>
      <c r="AG1214" s="598"/>
      <c r="AH1214" s="599"/>
      <c r="AI1214" s="600"/>
      <c r="AJ1214" s="598"/>
      <c r="AK1214" s="599"/>
      <c r="AL1214" s="600"/>
      <c r="AM1214" s="384"/>
      <c r="AN1214" s="256"/>
      <c r="AO1214" s="388"/>
    </row>
    <row r="1215" spans="4:50" x14ac:dyDescent="0.3">
      <c r="D1215" s="244"/>
      <c r="E1215" s="341" t="str">
        <f>IF(OR(M1215="",M1215=0,J1215="",G1215=""),"",
(IF(AND(F1208=$P$4,M1215&lt;=$R$4),$V$4,0)+IF(AND(F1208=$P$5,M1215&lt;=$R$5),$V$5,0)+IF(AND(F1208=$P$6,M1215&lt;=$R$6),$V$6,0)+IF(AND(F1208=$P$7,M1215&lt;=$R$7),$V$7,0))
)</f>
        <v/>
      </c>
      <c r="F1215" s="153" t="s">
        <v>307</v>
      </c>
      <c r="G1215" s="616"/>
      <c r="H1215" s="617"/>
      <c r="I1215" s="618"/>
      <c r="J1215" s="616"/>
      <c r="K1215" s="617"/>
      <c r="L1215" s="618"/>
      <c r="M1215" s="255"/>
      <c r="N1215" s="256"/>
      <c r="O1215" s="388"/>
      <c r="AD1215" s="244"/>
      <c r="AE1215" s="341" t="str">
        <f>IF(OR(AM1215="",AM1215=0,AJ1215="",AG1215=""),"",
(IF(AND(AF1208=$P$4,AM1215&lt;=$R$4),$V$4,0)+IF(AND(AF1208=$P$5,AM1215&lt;=$R$5),$V$5,0)+IF(AND(AF1208=$P$6,AM1215&lt;=$R$6),$V$6,0)+IF(AND(AF1208=$P$7,AM1215&lt;=$R$7),$V$7,0))
)</f>
        <v/>
      </c>
      <c r="AF1215" s="153" t="s">
        <v>307</v>
      </c>
      <c r="AG1215" s="598"/>
      <c r="AH1215" s="599"/>
      <c r="AI1215" s="600"/>
      <c r="AJ1215" s="598"/>
      <c r="AK1215" s="599"/>
      <c r="AL1215" s="600"/>
      <c r="AM1215" s="384"/>
      <c r="AN1215" s="256"/>
      <c r="AO1215" s="388"/>
    </row>
    <row r="1216" spans="4:50" x14ac:dyDescent="0.3">
      <c r="D1216" s="244"/>
      <c r="E1216" s="341" t="str">
        <f>IF(OR(M1216="",M1216=0,J1216="",G1216=""),"",
(IF(AND(F1208=$P$4,M1216&lt;=$R$4),$V$4,0)+IF(AND(F1208=$P$5,M1216&lt;=$R$5),$V$5,0)+IF(AND(F1208=$P$6,M1216&lt;=$R$6),$V$6,0)+IF(AND(F1208=$P$7,M1216&lt;=$R$7),$V$7,0))
)</f>
        <v/>
      </c>
      <c r="F1216" s="153" t="s">
        <v>308</v>
      </c>
      <c r="G1216" s="616"/>
      <c r="H1216" s="617"/>
      <c r="I1216" s="618"/>
      <c r="J1216" s="616"/>
      <c r="K1216" s="617"/>
      <c r="L1216" s="618"/>
      <c r="M1216" s="255"/>
      <c r="N1216" s="256"/>
      <c r="O1216" s="388"/>
      <c r="AD1216" s="244"/>
      <c r="AE1216" s="341" t="str">
        <f>IF(OR(AM1216="",AM1216=0,AJ1216="",AG1216=""),"",
(IF(AND(AF1208=$P$4,AM1216&lt;=$R$4),$V$4,0)+IF(AND(AF1208=$P$5,AM1216&lt;=$R$5),$V$5,0)+IF(AND(AF1208=$P$6,AM1216&lt;=$R$6),$V$6,0)+IF(AND(AF1208=$P$7,AM1216&lt;=$R$7),$V$7,0))
)</f>
        <v/>
      </c>
      <c r="AF1216" s="153" t="s">
        <v>308</v>
      </c>
      <c r="AG1216" s="598"/>
      <c r="AH1216" s="599"/>
      <c r="AI1216" s="600"/>
      <c r="AJ1216" s="598"/>
      <c r="AK1216" s="599"/>
      <c r="AL1216" s="600"/>
      <c r="AM1216" s="384"/>
      <c r="AN1216" s="256"/>
      <c r="AO1216" s="388"/>
    </row>
    <row r="1217" spans="4:50" ht="16.2" thickBot="1" x14ac:dyDescent="0.35">
      <c r="D1217" s="203"/>
      <c r="E1217" s="3"/>
      <c r="F1217" s="3"/>
      <c r="G1217" s="3"/>
      <c r="H1217" s="3"/>
      <c r="I1217" s="3"/>
      <c r="J1217" s="3"/>
      <c r="K1217" s="3"/>
      <c r="L1217" s="3"/>
      <c r="M1217" s="3"/>
      <c r="N1217" s="204"/>
      <c r="P1217" s="2"/>
      <c r="AD1217" s="203"/>
      <c r="AE1217" s="3"/>
      <c r="AF1217" s="3"/>
      <c r="AG1217" s="3"/>
      <c r="AH1217" s="3"/>
      <c r="AI1217" s="3"/>
      <c r="AJ1217" s="3"/>
      <c r="AK1217" s="3"/>
      <c r="AL1217" s="3"/>
      <c r="AM1217" s="3"/>
      <c r="AN1217" s="204"/>
      <c r="AP1217" s="2"/>
    </row>
    <row r="1218" spans="4:50" x14ac:dyDescent="0.3">
      <c r="D1218" s="601" t="str">
        <f>IF(
OR(
OR(F1220=$P$4,F1220=$P$5,F1220=$P$6,F1220=$P$7),AND(G1222="",G1223="",G1224="",G1225="",G1226="",G1227="",G1228="",J1222="",J1223="",J1224="",J1225="",J1226="",J1227="",J1228="",M1222="",M1223="",M1224="",M1225="",M1226="",M1227="",M1228="",K1219="",K1220="")
),
"",
"A Set-Aside must be selected."
)</f>
        <v/>
      </c>
      <c r="E1218" s="602"/>
      <c r="F1218" s="602"/>
      <c r="G1218" s="602"/>
      <c r="H1218" s="602"/>
      <c r="I1218" s="602"/>
      <c r="J1218" s="602"/>
      <c r="K1218" s="602"/>
      <c r="L1218" s="602"/>
      <c r="M1218" s="602"/>
      <c r="N1218" s="603"/>
      <c r="O1218" s="2"/>
      <c r="AD1218" s="601" t="str">
        <f>IF(
OR(
OR(AF1220=$P$4,AF1220=$P$5,AF1220=$P$6,AF1220=$P$7),AND(AG1222="",AG1223="",AG1224="",AG1225="",AG1226="",AG1227="",AG1228="",AJ1222="",AJ1223="",AJ1224="",AJ1225="",AJ1226="",AJ1227="",AJ1228="",AM1222="",AM1223="",AM1224="",AM1225="",AM1226="",AM1227="",AM1228="",AK1219="",AK1220="")
),
"",
"A Set-Aside must be selected."
)</f>
        <v/>
      </c>
      <c r="AE1218" s="602"/>
      <c r="AF1218" s="602"/>
      <c r="AG1218" s="602"/>
      <c r="AH1218" s="602"/>
      <c r="AI1218" s="602"/>
      <c r="AJ1218" s="602"/>
      <c r="AK1218" s="602"/>
      <c r="AL1218" s="602"/>
      <c r="AM1218" s="602"/>
      <c r="AN1218" s="603"/>
      <c r="AO1218" s="2"/>
    </row>
    <row r="1219" spans="4:50" ht="15.75" customHeight="1" x14ac:dyDescent="0.3">
      <c r="D1219" s="199"/>
      <c r="E1219" s="9" t="s">
        <v>30</v>
      </c>
      <c r="F1219" s="86">
        <f>F1207+1</f>
        <v>99</v>
      </c>
      <c r="G1219" s="9" t="s">
        <v>175</v>
      </c>
      <c r="H1219" s="9"/>
      <c r="I1219" s="9"/>
      <c r="J1219" s="168" t="s">
        <v>111</v>
      </c>
      <c r="K1219" s="148"/>
      <c r="N1219" s="200"/>
      <c r="R1219" s="596" t="s">
        <v>302</v>
      </c>
      <c r="S1219" s="596" t="s">
        <v>303</v>
      </c>
      <c r="T1219" s="596" t="s">
        <v>304</v>
      </c>
      <c r="U1219" s="596" t="s">
        <v>305</v>
      </c>
      <c r="V1219" s="596" t="s">
        <v>306</v>
      </c>
      <c r="W1219" s="596" t="s">
        <v>307</v>
      </c>
      <c r="X1219" s="596" t="s">
        <v>308</v>
      </c>
      <c r="AD1219" s="199"/>
      <c r="AE1219" s="9" t="s">
        <v>30</v>
      </c>
      <c r="AF1219" s="86">
        <f>AF1207+1</f>
        <v>99</v>
      </c>
      <c r="AG1219" s="9" t="s">
        <v>175</v>
      </c>
      <c r="AH1219" s="9"/>
      <c r="AI1219" s="9"/>
      <c r="AJ1219" s="168" t="s">
        <v>111</v>
      </c>
      <c r="AK1219" s="382"/>
      <c r="AN1219" s="200"/>
      <c r="AR1219" s="596" t="s">
        <v>302</v>
      </c>
      <c r="AS1219" s="596" t="s">
        <v>303</v>
      </c>
      <c r="AT1219" s="596" t="s">
        <v>304</v>
      </c>
      <c r="AU1219" s="596" t="s">
        <v>305</v>
      </c>
      <c r="AV1219" s="596" t="s">
        <v>306</v>
      </c>
      <c r="AW1219" s="596" t="s">
        <v>307</v>
      </c>
      <c r="AX1219" s="596" t="s">
        <v>308</v>
      </c>
    </row>
    <row r="1220" spans="4:50" x14ac:dyDescent="0.3">
      <c r="D1220" s="604" t="s">
        <v>31</v>
      </c>
      <c r="E1220" s="594"/>
      <c r="F1220" s="151"/>
      <c r="G1220" s="86" t="str">
        <f>IF(F1220=$P$4,$Q$4,IF(F1220=$P$5,$Q$5,IF(F1220=$P$6,$Q$6,IF(F1220=$P$7,Q$7,IF(F1220=$P$8,"","")))))</f>
        <v/>
      </c>
      <c r="H1220" s="201"/>
      <c r="I1220" s="201"/>
      <c r="J1220" s="168" t="s">
        <v>112</v>
      </c>
      <c r="K1220" s="148"/>
      <c r="N1220" s="200"/>
      <c r="R1220" s="596"/>
      <c r="S1220" s="596"/>
      <c r="T1220" s="596"/>
      <c r="U1220" s="596"/>
      <c r="V1220" s="596"/>
      <c r="W1220" s="596"/>
      <c r="X1220" s="596"/>
      <c r="AD1220" s="604" t="s">
        <v>31</v>
      </c>
      <c r="AE1220" s="594"/>
      <c r="AF1220" s="383"/>
      <c r="AG1220" s="86" t="str">
        <f>IF(AF1220=$P$4,$Q$4,IF(AF1220=$P$5,$Q$5,IF(AF1220=$P$6,$Q$6,IF(AF1220=$P$7,AQ$7,IF(AF1220=$P$8,"","")))))</f>
        <v/>
      </c>
      <c r="AH1220" s="201"/>
      <c r="AI1220" s="201"/>
      <c r="AJ1220" s="168" t="s">
        <v>112</v>
      </c>
      <c r="AK1220" s="382"/>
      <c r="AN1220" s="200"/>
      <c r="AR1220" s="596"/>
      <c r="AS1220" s="596"/>
      <c r="AT1220" s="596"/>
      <c r="AU1220" s="596"/>
      <c r="AV1220" s="596"/>
      <c r="AW1220" s="596"/>
      <c r="AX1220" s="596"/>
    </row>
    <row r="1221" spans="4:50" x14ac:dyDescent="0.3">
      <c r="D1221" s="244"/>
      <c r="E1221" s="230" t="s">
        <v>52</v>
      </c>
      <c r="F1221" s="9" t="s">
        <v>32</v>
      </c>
      <c r="G1221" s="9" t="s">
        <v>33</v>
      </c>
      <c r="H1221" s="9"/>
      <c r="I1221" s="9"/>
      <c r="J1221" s="9" t="s">
        <v>34</v>
      </c>
      <c r="K1221" s="9"/>
      <c r="L1221" s="9"/>
      <c r="M1221" s="257" t="s">
        <v>35</v>
      </c>
      <c r="N1221" s="202"/>
      <c r="O1221" s="9"/>
      <c r="P1221" s="198" t="s">
        <v>22</v>
      </c>
      <c r="Q1221" s="198"/>
      <c r="R1221" s="596"/>
      <c r="S1221" s="596"/>
      <c r="T1221" s="596"/>
      <c r="U1221" s="596"/>
      <c r="V1221" s="596"/>
      <c r="W1221" s="596"/>
      <c r="X1221" s="596"/>
      <c r="AD1221" s="244"/>
      <c r="AE1221" s="230" t="s">
        <v>52</v>
      </c>
      <c r="AF1221" s="9" t="s">
        <v>32</v>
      </c>
      <c r="AG1221" s="9" t="s">
        <v>33</v>
      </c>
      <c r="AH1221" s="9"/>
      <c r="AI1221" s="9"/>
      <c r="AJ1221" s="9" t="s">
        <v>34</v>
      </c>
      <c r="AK1221" s="9"/>
      <c r="AL1221" s="9"/>
      <c r="AM1221" s="257" t="s">
        <v>35</v>
      </c>
      <c r="AN1221" s="202"/>
      <c r="AO1221" s="9"/>
      <c r="AP1221" s="198" t="s">
        <v>22</v>
      </c>
      <c r="AQ1221" s="198"/>
      <c r="AR1221" s="596"/>
      <c r="AS1221" s="596"/>
      <c r="AT1221" s="596"/>
      <c r="AU1221" s="596"/>
      <c r="AV1221" s="596"/>
      <c r="AW1221" s="596"/>
      <c r="AX1221" s="596"/>
    </row>
    <row r="1222" spans="4:50" x14ac:dyDescent="0.3">
      <c r="D1222" s="244"/>
      <c r="E1222" s="355" t="str">
        <f>IF(OR(M1222="",M1222=0,J1222="",G1222=""),"",
(IF(AND(F1220=$P$4,M1222&lt;=$R$4),$V$4,0)+IF(AND(F1220=$P$5,M1222&lt;=$R$5),$V$5,0)+IF(AND(F1220=$P$6,M1222&lt;=$R$6),$V$6,0)+IF(AND(F1220=$P$7,M1222&lt;=$R$7),$V$7,0))
)</f>
        <v/>
      </c>
      <c r="F1222" s="153" t="s">
        <v>302</v>
      </c>
      <c r="G1222" s="616"/>
      <c r="H1222" s="617"/>
      <c r="I1222" s="618"/>
      <c r="J1222" s="616"/>
      <c r="K1222" s="617"/>
      <c r="L1222" s="618"/>
      <c r="M1222" s="255"/>
      <c r="N1222" s="256"/>
      <c r="O1222" s="388"/>
      <c r="P1222" s="185">
        <f t="shared" ref="P1222" si="1567">IF(F1220="",0,1)</f>
        <v>0</v>
      </c>
      <c r="R1222" s="185" t="str">
        <f t="shared" ref="R1222" si="1568">E1222</f>
        <v/>
      </c>
      <c r="S1222" s="185" t="str">
        <f t="shared" ref="S1222" si="1569">E1223</f>
        <v/>
      </c>
      <c r="T1222" s="185" t="str">
        <f t="shared" ref="T1222" si="1570">E1224</f>
        <v/>
      </c>
      <c r="U1222" s="185" t="str">
        <f t="shared" ref="U1222" si="1571">E1225</f>
        <v/>
      </c>
      <c r="V1222" s="185" t="str">
        <f t="shared" ref="V1222" si="1572">E1226</f>
        <v/>
      </c>
      <c r="W1222" s="185" t="str">
        <f t="shared" ref="W1222" si="1573">E1227</f>
        <v/>
      </c>
      <c r="X1222" s="185" t="str">
        <f t="shared" ref="X1222" si="1574">E1228</f>
        <v/>
      </c>
      <c r="AD1222" s="244"/>
      <c r="AE1222" s="355" t="str">
        <f>IF(OR(AM1222="",AM1222=0,AJ1222="",AG1222=""),"",
(IF(AND(AF1220=$P$4,AM1222&lt;=$R$4),$V$4,0)+IF(AND(AF1220=$P$5,AM1222&lt;=$R$5),$V$5,0)+IF(AND(AF1220=$P$6,AM1222&lt;=$R$6),$V$6,0)+IF(AND(AF1220=$P$7,AM1222&lt;=$R$7),$V$7,0))
)</f>
        <v/>
      </c>
      <c r="AF1222" s="153" t="s">
        <v>302</v>
      </c>
      <c r="AG1222" s="598"/>
      <c r="AH1222" s="599"/>
      <c r="AI1222" s="600"/>
      <c r="AJ1222" s="598"/>
      <c r="AK1222" s="599"/>
      <c r="AL1222" s="600"/>
      <c r="AM1222" s="384"/>
      <c r="AN1222" s="256"/>
      <c r="AO1222" s="388"/>
      <c r="AP1222" s="185">
        <f t="shared" ref="AP1222" si="1575">IF(AF1220="",0,1)</f>
        <v>0</v>
      </c>
      <c r="AR1222" s="185" t="str">
        <f t="shared" ref="AR1222" si="1576">AE1222</f>
        <v/>
      </c>
      <c r="AS1222" s="185" t="str">
        <f t="shared" ref="AS1222" si="1577">AE1223</f>
        <v/>
      </c>
      <c r="AT1222" s="185" t="str">
        <f t="shared" ref="AT1222" si="1578">AE1224</f>
        <v/>
      </c>
      <c r="AU1222" s="185" t="str">
        <f t="shared" ref="AU1222" si="1579">AE1225</f>
        <v/>
      </c>
      <c r="AV1222" s="185" t="str">
        <f t="shared" ref="AV1222" si="1580">AE1226</f>
        <v/>
      </c>
      <c r="AW1222" s="185" t="str">
        <f t="shared" ref="AW1222" si="1581">AE1227</f>
        <v/>
      </c>
      <c r="AX1222" s="185" t="str">
        <f t="shared" ref="AX1222" si="1582">AE1228</f>
        <v/>
      </c>
    </row>
    <row r="1223" spans="4:50" x14ac:dyDescent="0.3">
      <c r="D1223" s="244"/>
      <c r="E1223" s="341" t="str">
        <f>IF(OR(M1223="",M1223=0,J1223="",G1223=""),"",
(IF(AND(F1220=$P$4,M1223&lt;=$R$4),$V$4,0)+IF(AND(F1220=$P$5,M1223&lt;=$R$5),$V$5,0)+IF(AND(F1220=$P$6,M1223&lt;=$R$6),$V$6,0)+IF(AND(F1220=$P$7,M1223&lt;=$R$7),$V$7,0))
)</f>
        <v/>
      </c>
      <c r="F1223" s="153" t="s">
        <v>303</v>
      </c>
      <c r="G1223" s="616"/>
      <c r="H1223" s="617"/>
      <c r="I1223" s="618"/>
      <c r="J1223" s="616"/>
      <c r="K1223" s="617"/>
      <c r="L1223" s="618"/>
      <c r="M1223" s="255"/>
      <c r="N1223" s="256"/>
      <c r="O1223" s="388"/>
      <c r="AD1223" s="244"/>
      <c r="AE1223" s="341" t="str">
        <f>IF(OR(AM1223="",AM1223=0,AJ1223="",AG1223=""),"",
(IF(AND(AF1220=$P$4,AM1223&lt;=$R$4),$V$4,0)+IF(AND(AF1220=$P$5,AM1223&lt;=$R$5),$V$5,0)+IF(AND(AF1220=$P$6,AM1223&lt;=$R$6),$V$6,0)+IF(AND(AF1220=$P$7,AM1223&lt;=$R$7),$V$7,0))
)</f>
        <v/>
      </c>
      <c r="AF1223" s="153" t="s">
        <v>303</v>
      </c>
      <c r="AG1223" s="598"/>
      <c r="AH1223" s="599"/>
      <c r="AI1223" s="600"/>
      <c r="AJ1223" s="598"/>
      <c r="AK1223" s="599"/>
      <c r="AL1223" s="600"/>
      <c r="AM1223" s="384"/>
      <c r="AN1223" s="256"/>
      <c r="AO1223" s="388"/>
    </row>
    <row r="1224" spans="4:50" x14ac:dyDescent="0.3">
      <c r="D1224" s="244"/>
      <c r="E1224" s="341" t="str">
        <f>IF(OR(M1224="",M1224=0,J1224="",G1224=""),"",
(IF(AND(F1220=$P$4,M1224&lt;=$R$4),$V$4,0)+IF(AND(F1220=$P$5,M1224&lt;=$R$5),$V$5,0)+IF(AND(F1220=$P$6,M1224&lt;=$R$6),$V$6,0)+IF(AND(F1220=$P$7,M1224&lt;=$R$7),$V$7,0))
)</f>
        <v/>
      </c>
      <c r="F1224" s="153" t="s">
        <v>304</v>
      </c>
      <c r="G1224" s="616"/>
      <c r="H1224" s="617"/>
      <c r="I1224" s="618"/>
      <c r="J1224" s="616"/>
      <c r="K1224" s="617"/>
      <c r="L1224" s="618"/>
      <c r="M1224" s="255"/>
      <c r="N1224" s="256"/>
      <c r="O1224" s="388"/>
      <c r="AD1224" s="244"/>
      <c r="AE1224" s="341" t="str">
        <f>IF(OR(AM1224="",AM1224=0,AJ1224="",AG1224=""),"",
(IF(AND(AF1220=$P$4,AM1224&lt;=$R$4),$V$4,0)+IF(AND(AF1220=$P$5,AM1224&lt;=$R$5),$V$5,0)+IF(AND(AF1220=$P$6,AM1224&lt;=$R$6),$V$6,0)+IF(AND(AF1220=$P$7,AM1224&lt;=$R$7),$V$7,0))
)</f>
        <v/>
      </c>
      <c r="AF1224" s="153" t="s">
        <v>304</v>
      </c>
      <c r="AG1224" s="598"/>
      <c r="AH1224" s="599"/>
      <c r="AI1224" s="600"/>
      <c r="AJ1224" s="598"/>
      <c r="AK1224" s="599"/>
      <c r="AL1224" s="600"/>
      <c r="AM1224" s="384"/>
      <c r="AN1224" s="256"/>
      <c r="AO1224" s="388"/>
    </row>
    <row r="1225" spans="4:50" x14ac:dyDescent="0.3">
      <c r="D1225" s="244"/>
      <c r="E1225" s="341" t="str">
        <f>IF(OR(M1225="",M1225=0,J1225="",G1225=""),"",
(IF(AND(F1220=$P$4,M1225&lt;=$R$4),$V$4,0)+IF(AND(F1220=$P$5,M1225&lt;=$R$5),$V$5,0)+IF(AND(F1220=$P$6,M1225&lt;=$R$6),$V$6,0)+IF(AND(F1220=$P$7,M1225&lt;=$R$7),$V$7,0))
)</f>
        <v/>
      </c>
      <c r="F1225" s="153" t="s">
        <v>305</v>
      </c>
      <c r="G1225" s="616"/>
      <c r="H1225" s="617"/>
      <c r="I1225" s="618"/>
      <c r="J1225" s="616"/>
      <c r="K1225" s="617"/>
      <c r="L1225" s="618"/>
      <c r="M1225" s="255"/>
      <c r="N1225" s="256"/>
      <c r="O1225" s="388"/>
      <c r="AD1225" s="244"/>
      <c r="AE1225" s="341" t="str">
        <f>IF(OR(AM1225="",AM1225=0,AJ1225="",AG1225=""),"",
(IF(AND(AF1220=$P$4,AM1225&lt;=$R$4),$V$4,0)+IF(AND(AF1220=$P$5,AM1225&lt;=$R$5),$V$5,0)+IF(AND(AF1220=$P$6,AM1225&lt;=$R$6),$V$6,0)+IF(AND(AF1220=$P$7,AM1225&lt;=$R$7),$V$7,0))
)</f>
        <v/>
      </c>
      <c r="AF1225" s="153" t="s">
        <v>305</v>
      </c>
      <c r="AG1225" s="598"/>
      <c r="AH1225" s="599"/>
      <c r="AI1225" s="600"/>
      <c r="AJ1225" s="598"/>
      <c r="AK1225" s="599"/>
      <c r="AL1225" s="600"/>
      <c r="AM1225" s="384"/>
      <c r="AN1225" s="256"/>
      <c r="AO1225" s="388"/>
    </row>
    <row r="1226" spans="4:50" x14ac:dyDescent="0.3">
      <c r="D1226" s="244"/>
      <c r="E1226" s="341" t="str">
        <f>IF(OR(M1226="",M1226=0,J1226="",G1226=""),"",
(IF(AND(F1220=$P$4,M1226&lt;=$R$4),$V$4,0)+IF(AND(F1220=$P$5,M1226&lt;=$R$5),$V$5,0)+IF(AND(F1220=$P$6,M1226&lt;=$R$6),$V$6,0)+IF(AND(F1220=$P$7,M1226&lt;=$R$7),$V$7,0))
)</f>
        <v/>
      </c>
      <c r="F1226" s="153" t="s">
        <v>306</v>
      </c>
      <c r="G1226" s="616"/>
      <c r="H1226" s="617"/>
      <c r="I1226" s="618"/>
      <c r="J1226" s="616"/>
      <c r="K1226" s="617"/>
      <c r="L1226" s="618"/>
      <c r="M1226" s="255"/>
      <c r="N1226" s="256"/>
      <c r="O1226" s="388"/>
      <c r="AD1226" s="244"/>
      <c r="AE1226" s="341" t="str">
        <f>IF(OR(AM1226="",AM1226=0,AJ1226="",AG1226=""),"",
(IF(AND(AF1220=$P$4,AM1226&lt;=$R$4),$V$4,0)+IF(AND(AF1220=$P$5,AM1226&lt;=$R$5),$V$5,0)+IF(AND(AF1220=$P$6,AM1226&lt;=$R$6),$V$6,0)+IF(AND(AF1220=$P$7,AM1226&lt;=$R$7),$V$7,0))
)</f>
        <v/>
      </c>
      <c r="AF1226" s="153" t="s">
        <v>306</v>
      </c>
      <c r="AG1226" s="598"/>
      <c r="AH1226" s="599"/>
      <c r="AI1226" s="600"/>
      <c r="AJ1226" s="598"/>
      <c r="AK1226" s="599"/>
      <c r="AL1226" s="600"/>
      <c r="AM1226" s="384"/>
      <c r="AN1226" s="256"/>
      <c r="AO1226" s="388"/>
    </row>
    <row r="1227" spans="4:50" x14ac:dyDescent="0.3">
      <c r="D1227" s="244"/>
      <c r="E1227" s="341" t="str">
        <f>IF(OR(M1227="",M1227=0,J1227="",G1227=""),"",
(IF(AND(F1220=$P$4,M1227&lt;=$R$4),$V$4,0)+IF(AND(F1220=$P$5,M1227&lt;=$R$5),$V$5,0)+IF(AND(F1220=$P$6,M1227&lt;=$R$6),$V$6,0)+IF(AND(F1220=$P$7,M1227&lt;=$R$7),$V$7,0))
)</f>
        <v/>
      </c>
      <c r="F1227" s="153" t="s">
        <v>307</v>
      </c>
      <c r="G1227" s="616"/>
      <c r="H1227" s="617"/>
      <c r="I1227" s="618"/>
      <c r="J1227" s="616"/>
      <c r="K1227" s="617"/>
      <c r="L1227" s="618"/>
      <c r="M1227" s="255"/>
      <c r="N1227" s="256"/>
      <c r="O1227" s="388"/>
      <c r="AD1227" s="244"/>
      <c r="AE1227" s="341" t="str">
        <f>IF(OR(AM1227="",AM1227=0,AJ1227="",AG1227=""),"",
(IF(AND(AF1220=$P$4,AM1227&lt;=$R$4),$V$4,0)+IF(AND(AF1220=$P$5,AM1227&lt;=$R$5),$V$5,0)+IF(AND(AF1220=$P$6,AM1227&lt;=$R$6),$V$6,0)+IF(AND(AF1220=$P$7,AM1227&lt;=$R$7),$V$7,0))
)</f>
        <v/>
      </c>
      <c r="AF1227" s="153" t="s">
        <v>307</v>
      </c>
      <c r="AG1227" s="598"/>
      <c r="AH1227" s="599"/>
      <c r="AI1227" s="600"/>
      <c r="AJ1227" s="598"/>
      <c r="AK1227" s="599"/>
      <c r="AL1227" s="600"/>
      <c r="AM1227" s="384"/>
      <c r="AN1227" s="256"/>
      <c r="AO1227" s="388"/>
    </row>
    <row r="1228" spans="4:50" x14ac:dyDescent="0.3">
      <c r="D1228" s="244"/>
      <c r="E1228" s="341" t="str">
        <f>IF(OR(M1228="",M1228=0,J1228="",G1228=""),"",
(IF(AND(F1220=$P$4,M1228&lt;=$R$4),$V$4,0)+IF(AND(F1220=$P$5,M1228&lt;=$R$5),$V$5,0)+IF(AND(F1220=$P$6,M1228&lt;=$R$6),$V$6,0)+IF(AND(F1220=$P$7,M1228&lt;=$R$7),$V$7,0))
)</f>
        <v/>
      </c>
      <c r="F1228" s="153" t="s">
        <v>308</v>
      </c>
      <c r="G1228" s="616"/>
      <c r="H1228" s="617"/>
      <c r="I1228" s="618"/>
      <c r="J1228" s="616"/>
      <c r="K1228" s="617"/>
      <c r="L1228" s="618"/>
      <c r="M1228" s="255"/>
      <c r="N1228" s="256"/>
      <c r="O1228" s="388"/>
      <c r="AD1228" s="244"/>
      <c r="AE1228" s="341" t="str">
        <f>IF(OR(AM1228="",AM1228=0,AJ1228="",AG1228=""),"",
(IF(AND(AF1220=$P$4,AM1228&lt;=$R$4),$V$4,0)+IF(AND(AF1220=$P$5,AM1228&lt;=$R$5),$V$5,0)+IF(AND(AF1220=$P$6,AM1228&lt;=$R$6),$V$6,0)+IF(AND(AF1220=$P$7,AM1228&lt;=$R$7),$V$7,0))
)</f>
        <v/>
      </c>
      <c r="AF1228" s="153" t="s">
        <v>308</v>
      </c>
      <c r="AG1228" s="598"/>
      <c r="AH1228" s="599"/>
      <c r="AI1228" s="600"/>
      <c r="AJ1228" s="598"/>
      <c r="AK1228" s="599"/>
      <c r="AL1228" s="600"/>
      <c r="AM1228" s="384"/>
      <c r="AN1228" s="256"/>
      <c r="AO1228" s="388"/>
    </row>
    <row r="1229" spans="4:50" ht="16.2" thickBot="1" x14ac:dyDescent="0.35">
      <c r="D1229" s="203"/>
      <c r="E1229" s="3"/>
      <c r="F1229" s="3"/>
      <c r="G1229" s="3"/>
      <c r="H1229" s="3"/>
      <c r="I1229" s="3"/>
      <c r="J1229" s="3"/>
      <c r="K1229" s="3"/>
      <c r="L1229" s="3"/>
      <c r="M1229" s="3"/>
      <c r="N1229" s="204"/>
      <c r="P1229" s="2"/>
      <c r="AD1229" s="203"/>
      <c r="AE1229" s="3"/>
      <c r="AF1229" s="3"/>
      <c r="AG1229" s="3"/>
      <c r="AH1229" s="3"/>
      <c r="AI1229" s="3"/>
      <c r="AJ1229" s="3"/>
      <c r="AK1229" s="3"/>
      <c r="AL1229" s="3"/>
      <c r="AM1229" s="3"/>
      <c r="AN1229" s="204"/>
      <c r="AP1229" s="2"/>
    </row>
    <row r="1230" spans="4:50" x14ac:dyDescent="0.3">
      <c r="D1230" s="601" t="str">
        <f>IF(
OR(
OR(F1232=$P$4,F1232=$P$5,F1232=$P$6,F1232=$P$7),AND(G1234="",G1235="",G1236="",G1237="",G1238="",G1239="",G1240="",J1234="",J1235="",J1236="",J1237="",J1238="",J1239="",J1240="",M1234="",M1235="",M1236="",M1237="",M1238="",M1239="",M1240="",K1231="",K1232="")
),
"",
"A Set-Aside must be selected."
)</f>
        <v/>
      </c>
      <c r="E1230" s="602"/>
      <c r="F1230" s="602"/>
      <c r="G1230" s="602"/>
      <c r="H1230" s="602"/>
      <c r="I1230" s="602"/>
      <c r="J1230" s="602"/>
      <c r="K1230" s="602"/>
      <c r="L1230" s="602"/>
      <c r="M1230" s="602"/>
      <c r="N1230" s="603"/>
      <c r="O1230" s="2"/>
      <c r="AD1230" s="601" t="str">
        <f>IF(
OR(
OR(AF1232=$P$4,AF1232=$P$5,AF1232=$P$6,AF1232=$P$7),AND(AG1234="",AG1235="",AG1236="",AG1237="",AG1238="",AG1239="",AG1240="",AJ1234="",AJ1235="",AJ1236="",AJ1237="",AJ1238="",AJ1239="",AJ1240="",AM1234="",AM1235="",AM1236="",AM1237="",AM1238="",AM1239="",AM1240="",AK1231="",AK1232="")
),
"",
"A Set-Aside must be selected."
)</f>
        <v/>
      </c>
      <c r="AE1230" s="602"/>
      <c r="AF1230" s="602"/>
      <c r="AG1230" s="602"/>
      <c r="AH1230" s="602"/>
      <c r="AI1230" s="602"/>
      <c r="AJ1230" s="602"/>
      <c r="AK1230" s="602"/>
      <c r="AL1230" s="602"/>
      <c r="AM1230" s="602"/>
      <c r="AN1230" s="603"/>
      <c r="AO1230" s="2"/>
    </row>
    <row r="1231" spans="4:50" ht="15.75" customHeight="1" x14ac:dyDescent="0.3">
      <c r="D1231" s="199"/>
      <c r="E1231" s="9" t="s">
        <v>30</v>
      </c>
      <c r="F1231" s="86">
        <f>F1219+1</f>
        <v>100</v>
      </c>
      <c r="G1231" s="9" t="s">
        <v>175</v>
      </c>
      <c r="H1231" s="9"/>
      <c r="I1231" s="9"/>
      <c r="J1231" s="168" t="s">
        <v>111</v>
      </c>
      <c r="K1231" s="148"/>
      <c r="N1231" s="200"/>
      <c r="R1231" s="596" t="s">
        <v>302</v>
      </c>
      <c r="S1231" s="596" t="s">
        <v>303</v>
      </c>
      <c r="T1231" s="596" t="s">
        <v>304</v>
      </c>
      <c r="U1231" s="596" t="s">
        <v>305</v>
      </c>
      <c r="V1231" s="596" t="s">
        <v>306</v>
      </c>
      <c r="W1231" s="596" t="s">
        <v>307</v>
      </c>
      <c r="X1231" s="596" t="s">
        <v>308</v>
      </c>
      <c r="AD1231" s="199"/>
      <c r="AE1231" s="9" t="s">
        <v>30</v>
      </c>
      <c r="AF1231" s="86">
        <f>AF1219+1</f>
        <v>100</v>
      </c>
      <c r="AG1231" s="9" t="s">
        <v>175</v>
      </c>
      <c r="AH1231" s="9"/>
      <c r="AI1231" s="9"/>
      <c r="AJ1231" s="168" t="s">
        <v>111</v>
      </c>
      <c r="AK1231" s="382"/>
      <c r="AN1231" s="200"/>
      <c r="AR1231" s="596" t="s">
        <v>302</v>
      </c>
      <c r="AS1231" s="596" t="s">
        <v>303</v>
      </c>
      <c r="AT1231" s="596" t="s">
        <v>304</v>
      </c>
      <c r="AU1231" s="596" t="s">
        <v>305</v>
      </c>
      <c r="AV1231" s="596" t="s">
        <v>306</v>
      </c>
      <c r="AW1231" s="596" t="s">
        <v>307</v>
      </c>
      <c r="AX1231" s="596" t="s">
        <v>308</v>
      </c>
    </row>
    <row r="1232" spans="4:50" x14ac:dyDescent="0.3">
      <c r="D1232" s="604" t="s">
        <v>31</v>
      </c>
      <c r="E1232" s="594"/>
      <c r="F1232" s="151"/>
      <c r="G1232" s="86" t="str">
        <f>IF(F1232=$P$4,$Q$4,IF(F1232=$P$5,$Q$5,IF(F1232=$P$6,$Q$6,IF(F1232=$P$7,Q$7,IF(F1232=$P$8,"","")))))</f>
        <v/>
      </c>
      <c r="H1232" s="201"/>
      <c r="I1232" s="201"/>
      <c r="J1232" s="168" t="s">
        <v>112</v>
      </c>
      <c r="K1232" s="148"/>
      <c r="N1232" s="200"/>
      <c r="R1232" s="596"/>
      <c r="S1232" s="596"/>
      <c r="T1232" s="596"/>
      <c r="U1232" s="596"/>
      <c r="V1232" s="596"/>
      <c r="W1232" s="596"/>
      <c r="X1232" s="596"/>
      <c r="AD1232" s="604" t="s">
        <v>31</v>
      </c>
      <c r="AE1232" s="594"/>
      <c r="AF1232" s="383"/>
      <c r="AG1232" s="86" t="str">
        <f>IF(AF1232=$P$4,$Q$4,IF(AF1232=$P$5,$Q$5,IF(AF1232=$P$6,$Q$6,IF(AF1232=$P$7,AQ$7,IF(AF1232=$P$8,"","")))))</f>
        <v/>
      </c>
      <c r="AH1232" s="201"/>
      <c r="AI1232" s="201"/>
      <c r="AJ1232" s="168" t="s">
        <v>112</v>
      </c>
      <c r="AK1232" s="382"/>
      <c r="AN1232" s="200"/>
      <c r="AR1232" s="596"/>
      <c r="AS1232" s="596"/>
      <c r="AT1232" s="596"/>
      <c r="AU1232" s="596"/>
      <c r="AV1232" s="596"/>
      <c r="AW1232" s="596"/>
      <c r="AX1232" s="596"/>
    </row>
    <row r="1233" spans="4:50" x14ac:dyDescent="0.3">
      <c r="D1233" s="244"/>
      <c r="E1233" s="230" t="s">
        <v>52</v>
      </c>
      <c r="F1233" s="9" t="s">
        <v>32</v>
      </c>
      <c r="G1233" s="9" t="s">
        <v>33</v>
      </c>
      <c r="H1233" s="9"/>
      <c r="I1233" s="9"/>
      <c r="J1233" s="9" t="s">
        <v>34</v>
      </c>
      <c r="K1233" s="9"/>
      <c r="L1233" s="9"/>
      <c r="M1233" s="257" t="s">
        <v>35</v>
      </c>
      <c r="N1233" s="202"/>
      <c r="O1233" s="9"/>
      <c r="P1233" s="198" t="s">
        <v>22</v>
      </c>
      <c r="Q1233" s="198"/>
      <c r="R1233" s="596"/>
      <c r="S1233" s="596"/>
      <c r="T1233" s="596"/>
      <c r="U1233" s="596"/>
      <c r="V1233" s="596"/>
      <c r="W1233" s="596"/>
      <c r="X1233" s="596"/>
      <c r="AD1233" s="244"/>
      <c r="AE1233" s="230" t="s">
        <v>52</v>
      </c>
      <c r="AF1233" s="9" t="s">
        <v>32</v>
      </c>
      <c r="AG1233" s="9" t="s">
        <v>33</v>
      </c>
      <c r="AH1233" s="9"/>
      <c r="AI1233" s="9"/>
      <c r="AJ1233" s="9" t="s">
        <v>34</v>
      </c>
      <c r="AK1233" s="9"/>
      <c r="AL1233" s="9"/>
      <c r="AM1233" s="257" t="s">
        <v>35</v>
      </c>
      <c r="AN1233" s="202"/>
      <c r="AO1233" s="9"/>
      <c r="AP1233" s="198" t="s">
        <v>22</v>
      </c>
      <c r="AQ1233" s="198"/>
      <c r="AR1233" s="596"/>
      <c r="AS1233" s="596"/>
      <c r="AT1233" s="596"/>
      <c r="AU1233" s="596"/>
      <c r="AV1233" s="596"/>
      <c r="AW1233" s="596"/>
      <c r="AX1233" s="596"/>
    </row>
    <row r="1234" spans="4:50" x14ac:dyDescent="0.3">
      <c r="D1234" s="244"/>
      <c r="E1234" s="355" t="str">
        <f>IF(OR(M1234="",M1234=0,J1234="",G1234=""),"",
(IF(AND(F1232=$P$4,M1234&lt;=$R$4),$V$4,0)+IF(AND(F1232=$P$5,M1234&lt;=$R$5),$V$5,0)+IF(AND(F1232=$P$6,M1234&lt;=$R$6),$V$6,0)+IF(AND(F1232=$P$7,M1234&lt;=$R$7),$V$7,0))
)</f>
        <v/>
      </c>
      <c r="F1234" s="153" t="s">
        <v>302</v>
      </c>
      <c r="G1234" s="616"/>
      <c r="H1234" s="617"/>
      <c r="I1234" s="618"/>
      <c r="J1234" s="616"/>
      <c r="K1234" s="617"/>
      <c r="L1234" s="618"/>
      <c r="M1234" s="255"/>
      <c r="N1234" s="256"/>
      <c r="O1234" s="388"/>
      <c r="P1234" s="185">
        <f t="shared" ref="P1234" si="1583">IF(F1232="",0,1)</f>
        <v>0</v>
      </c>
      <c r="R1234" s="185" t="str">
        <f t="shared" ref="R1234" si="1584">E1234</f>
        <v/>
      </c>
      <c r="S1234" s="185" t="str">
        <f t="shared" ref="S1234" si="1585">E1235</f>
        <v/>
      </c>
      <c r="T1234" s="185" t="str">
        <f t="shared" ref="T1234" si="1586">E1236</f>
        <v/>
      </c>
      <c r="U1234" s="185" t="str">
        <f t="shared" ref="U1234" si="1587">E1237</f>
        <v/>
      </c>
      <c r="V1234" s="185" t="str">
        <f t="shared" ref="V1234" si="1588">E1238</f>
        <v/>
      </c>
      <c r="W1234" s="185" t="str">
        <f t="shared" ref="W1234" si="1589">E1239</f>
        <v/>
      </c>
      <c r="X1234" s="185" t="str">
        <f t="shared" ref="X1234" si="1590">E1240</f>
        <v/>
      </c>
      <c r="AD1234" s="244"/>
      <c r="AE1234" s="355" t="str">
        <f>IF(OR(AM1234="",AM1234=0,AJ1234="",AG1234=""),"",
(IF(AND(AF1232=$P$4,AM1234&lt;=$R$4),$V$4,0)+IF(AND(AF1232=$P$5,AM1234&lt;=$R$5),$V$5,0)+IF(AND(AF1232=$P$6,AM1234&lt;=$R$6),$V$6,0)+IF(AND(AF1232=$P$7,AM1234&lt;=$R$7),$V$7,0))
)</f>
        <v/>
      </c>
      <c r="AF1234" s="153" t="s">
        <v>302</v>
      </c>
      <c r="AG1234" s="598"/>
      <c r="AH1234" s="599"/>
      <c r="AI1234" s="600"/>
      <c r="AJ1234" s="598"/>
      <c r="AK1234" s="599"/>
      <c r="AL1234" s="600"/>
      <c r="AM1234" s="384"/>
      <c r="AN1234" s="256"/>
      <c r="AO1234" s="388"/>
      <c r="AP1234" s="185">
        <f t="shared" ref="AP1234" si="1591">IF(AF1232="",0,1)</f>
        <v>0</v>
      </c>
      <c r="AR1234" s="185" t="str">
        <f t="shared" ref="AR1234" si="1592">AE1234</f>
        <v/>
      </c>
      <c r="AS1234" s="185" t="str">
        <f t="shared" ref="AS1234" si="1593">AE1235</f>
        <v/>
      </c>
      <c r="AT1234" s="185" t="str">
        <f t="shared" ref="AT1234" si="1594">AE1236</f>
        <v/>
      </c>
      <c r="AU1234" s="185" t="str">
        <f t="shared" ref="AU1234" si="1595">AE1237</f>
        <v/>
      </c>
      <c r="AV1234" s="185" t="str">
        <f t="shared" ref="AV1234" si="1596">AE1238</f>
        <v/>
      </c>
      <c r="AW1234" s="185" t="str">
        <f t="shared" ref="AW1234" si="1597">AE1239</f>
        <v/>
      </c>
      <c r="AX1234" s="185" t="str">
        <f t="shared" ref="AX1234" si="1598">AE1240</f>
        <v/>
      </c>
    </row>
    <row r="1235" spans="4:50" x14ac:dyDescent="0.3">
      <c r="D1235" s="244"/>
      <c r="E1235" s="341" t="str">
        <f>IF(OR(M1235="",M1235=0,J1235="",G1235=""),"",
(IF(AND(F1232=$P$4,M1235&lt;=$R$4),$V$4,0)+IF(AND(F1232=$P$5,M1235&lt;=$R$5),$V$5,0)+IF(AND(F1232=$P$6,M1235&lt;=$R$6),$V$6,0)+IF(AND(F1232=$P$7,M1235&lt;=$R$7),$V$7,0))
)</f>
        <v/>
      </c>
      <c r="F1235" s="153" t="s">
        <v>303</v>
      </c>
      <c r="G1235" s="616"/>
      <c r="H1235" s="617"/>
      <c r="I1235" s="618"/>
      <c r="J1235" s="616"/>
      <c r="K1235" s="617"/>
      <c r="L1235" s="618"/>
      <c r="M1235" s="255"/>
      <c r="N1235" s="256"/>
      <c r="O1235" s="388"/>
      <c r="AD1235" s="244"/>
      <c r="AE1235" s="341" t="str">
        <f>IF(OR(AM1235="",AM1235=0,AJ1235="",AG1235=""),"",
(IF(AND(AF1232=$P$4,AM1235&lt;=$R$4),$V$4,0)+IF(AND(AF1232=$P$5,AM1235&lt;=$R$5),$V$5,0)+IF(AND(AF1232=$P$6,AM1235&lt;=$R$6),$V$6,0)+IF(AND(AF1232=$P$7,AM1235&lt;=$R$7),$V$7,0))
)</f>
        <v/>
      </c>
      <c r="AF1235" s="153" t="s">
        <v>303</v>
      </c>
      <c r="AG1235" s="598"/>
      <c r="AH1235" s="599"/>
      <c r="AI1235" s="600"/>
      <c r="AJ1235" s="598"/>
      <c r="AK1235" s="599"/>
      <c r="AL1235" s="600"/>
      <c r="AM1235" s="384"/>
      <c r="AN1235" s="256"/>
      <c r="AO1235" s="388"/>
    </row>
    <row r="1236" spans="4:50" x14ac:dyDescent="0.3">
      <c r="D1236" s="244"/>
      <c r="E1236" s="341" t="str">
        <f>IF(OR(M1236="",M1236=0,J1236="",G1236=""),"",
(IF(AND(F1232=$P$4,M1236&lt;=$R$4),$V$4,0)+IF(AND(F1232=$P$5,M1236&lt;=$R$5),$V$5,0)+IF(AND(F1232=$P$6,M1236&lt;=$R$6),$V$6,0)+IF(AND(F1232=$P$7,M1236&lt;=$R$7),$V$7,0))
)</f>
        <v/>
      </c>
      <c r="F1236" s="153" t="s">
        <v>304</v>
      </c>
      <c r="G1236" s="616"/>
      <c r="H1236" s="617"/>
      <c r="I1236" s="618"/>
      <c r="J1236" s="616"/>
      <c r="K1236" s="617"/>
      <c r="L1236" s="618"/>
      <c r="M1236" s="255"/>
      <c r="N1236" s="256"/>
      <c r="O1236" s="388"/>
      <c r="AD1236" s="244"/>
      <c r="AE1236" s="341" t="str">
        <f>IF(OR(AM1236="",AM1236=0,AJ1236="",AG1236=""),"",
(IF(AND(AF1232=$P$4,AM1236&lt;=$R$4),$V$4,0)+IF(AND(AF1232=$P$5,AM1236&lt;=$R$5),$V$5,0)+IF(AND(AF1232=$P$6,AM1236&lt;=$R$6),$V$6,0)+IF(AND(AF1232=$P$7,AM1236&lt;=$R$7),$V$7,0))
)</f>
        <v/>
      </c>
      <c r="AF1236" s="153" t="s">
        <v>304</v>
      </c>
      <c r="AG1236" s="598"/>
      <c r="AH1236" s="599"/>
      <c r="AI1236" s="600"/>
      <c r="AJ1236" s="598"/>
      <c r="AK1236" s="599"/>
      <c r="AL1236" s="600"/>
      <c r="AM1236" s="384"/>
      <c r="AN1236" s="256"/>
      <c r="AO1236" s="388"/>
    </row>
    <row r="1237" spans="4:50" x14ac:dyDescent="0.3">
      <c r="D1237" s="244"/>
      <c r="E1237" s="341" t="str">
        <f>IF(OR(M1237="",M1237=0,J1237="",G1237=""),"",
(IF(AND(F1232=$P$4,M1237&lt;=$R$4),$V$4,0)+IF(AND(F1232=$P$5,M1237&lt;=$R$5),$V$5,0)+IF(AND(F1232=$P$6,M1237&lt;=$R$6),$V$6,0)+IF(AND(F1232=$P$7,M1237&lt;=$R$7),$V$7,0))
)</f>
        <v/>
      </c>
      <c r="F1237" s="153" t="s">
        <v>305</v>
      </c>
      <c r="G1237" s="616"/>
      <c r="H1237" s="617"/>
      <c r="I1237" s="618"/>
      <c r="J1237" s="616"/>
      <c r="K1237" s="617"/>
      <c r="L1237" s="618"/>
      <c r="M1237" s="255"/>
      <c r="N1237" s="256"/>
      <c r="O1237" s="388"/>
      <c r="AD1237" s="244"/>
      <c r="AE1237" s="341" t="str">
        <f>IF(OR(AM1237="",AM1237=0,AJ1237="",AG1237=""),"",
(IF(AND(AF1232=$P$4,AM1237&lt;=$R$4),$V$4,0)+IF(AND(AF1232=$P$5,AM1237&lt;=$R$5),$V$5,0)+IF(AND(AF1232=$P$6,AM1237&lt;=$R$6),$V$6,0)+IF(AND(AF1232=$P$7,AM1237&lt;=$R$7),$V$7,0))
)</f>
        <v/>
      </c>
      <c r="AF1237" s="153" t="s">
        <v>305</v>
      </c>
      <c r="AG1237" s="598"/>
      <c r="AH1237" s="599"/>
      <c r="AI1237" s="600"/>
      <c r="AJ1237" s="598"/>
      <c r="AK1237" s="599"/>
      <c r="AL1237" s="600"/>
      <c r="AM1237" s="384"/>
      <c r="AN1237" s="256"/>
      <c r="AO1237" s="388"/>
    </row>
    <row r="1238" spans="4:50" x14ac:dyDescent="0.3">
      <c r="D1238" s="244"/>
      <c r="E1238" s="341" t="str">
        <f>IF(OR(M1238="",M1238=0,J1238="",G1238=""),"",
(IF(AND(F1232=$P$4,M1238&lt;=$R$4),$V$4,0)+IF(AND(F1232=$P$5,M1238&lt;=$R$5),$V$5,0)+IF(AND(F1232=$P$6,M1238&lt;=$R$6),$V$6,0)+IF(AND(F1232=$P$7,M1238&lt;=$R$7),$V$7,0))
)</f>
        <v/>
      </c>
      <c r="F1238" s="153" t="s">
        <v>306</v>
      </c>
      <c r="G1238" s="616"/>
      <c r="H1238" s="617"/>
      <c r="I1238" s="618"/>
      <c r="J1238" s="616"/>
      <c r="K1238" s="617"/>
      <c r="L1238" s="618"/>
      <c r="M1238" s="255"/>
      <c r="N1238" s="256"/>
      <c r="O1238" s="388"/>
      <c r="AD1238" s="244"/>
      <c r="AE1238" s="341" t="str">
        <f>IF(OR(AM1238="",AM1238=0,AJ1238="",AG1238=""),"",
(IF(AND(AF1232=$P$4,AM1238&lt;=$R$4),$V$4,0)+IF(AND(AF1232=$P$5,AM1238&lt;=$R$5),$V$5,0)+IF(AND(AF1232=$P$6,AM1238&lt;=$R$6),$V$6,0)+IF(AND(AF1232=$P$7,AM1238&lt;=$R$7),$V$7,0))
)</f>
        <v/>
      </c>
      <c r="AF1238" s="153" t="s">
        <v>306</v>
      </c>
      <c r="AG1238" s="598"/>
      <c r="AH1238" s="599"/>
      <c r="AI1238" s="600"/>
      <c r="AJ1238" s="598"/>
      <c r="AK1238" s="599"/>
      <c r="AL1238" s="600"/>
      <c r="AM1238" s="384"/>
      <c r="AN1238" s="256"/>
      <c r="AO1238" s="388"/>
    </row>
    <row r="1239" spans="4:50" x14ac:dyDescent="0.3">
      <c r="D1239" s="244"/>
      <c r="E1239" s="341" t="str">
        <f>IF(OR(M1239="",M1239=0,J1239="",G1239=""),"",
(IF(AND(F1232=$P$4,M1239&lt;=$R$4),$V$4,0)+IF(AND(F1232=$P$5,M1239&lt;=$R$5),$V$5,0)+IF(AND(F1232=$P$6,M1239&lt;=$R$6),$V$6,0)+IF(AND(F1232=$P$7,M1239&lt;=$R$7),$V$7,0))
)</f>
        <v/>
      </c>
      <c r="F1239" s="153" t="s">
        <v>307</v>
      </c>
      <c r="G1239" s="616"/>
      <c r="H1239" s="617"/>
      <c r="I1239" s="618"/>
      <c r="J1239" s="616"/>
      <c r="K1239" s="617"/>
      <c r="L1239" s="618"/>
      <c r="M1239" s="255"/>
      <c r="N1239" s="256"/>
      <c r="O1239" s="388"/>
      <c r="AD1239" s="244"/>
      <c r="AE1239" s="341" t="str">
        <f>IF(OR(AM1239="",AM1239=0,AJ1239="",AG1239=""),"",
(IF(AND(AF1232=$P$4,AM1239&lt;=$R$4),$V$4,0)+IF(AND(AF1232=$P$5,AM1239&lt;=$R$5),$V$5,0)+IF(AND(AF1232=$P$6,AM1239&lt;=$R$6),$V$6,0)+IF(AND(AF1232=$P$7,AM1239&lt;=$R$7),$V$7,0))
)</f>
        <v/>
      </c>
      <c r="AF1239" s="153" t="s">
        <v>307</v>
      </c>
      <c r="AG1239" s="598"/>
      <c r="AH1239" s="599"/>
      <c r="AI1239" s="600"/>
      <c r="AJ1239" s="598"/>
      <c r="AK1239" s="599"/>
      <c r="AL1239" s="600"/>
      <c r="AM1239" s="384"/>
      <c r="AN1239" s="256"/>
      <c r="AO1239" s="388"/>
    </row>
    <row r="1240" spans="4:50" x14ac:dyDescent="0.3">
      <c r="D1240" s="244"/>
      <c r="E1240" s="341" t="str">
        <f>IF(OR(M1240="",M1240=0,J1240="",G1240=""),"",
(IF(AND(F1232=$P$4,M1240&lt;=$R$4),$V$4,0)+IF(AND(F1232=$P$5,M1240&lt;=$R$5),$V$5,0)+IF(AND(F1232=$P$6,M1240&lt;=$R$6),$V$6,0)+IF(AND(F1232=$P$7,M1240&lt;=$R$7),$V$7,0))
)</f>
        <v/>
      </c>
      <c r="F1240" s="153" t="s">
        <v>308</v>
      </c>
      <c r="G1240" s="616"/>
      <c r="H1240" s="617"/>
      <c r="I1240" s="618"/>
      <c r="J1240" s="616"/>
      <c r="K1240" s="617"/>
      <c r="L1240" s="618"/>
      <c r="M1240" s="255"/>
      <c r="N1240" s="256"/>
      <c r="O1240" s="388"/>
      <c r="AD1240" s="244"/>
      <c r="AE1240" s="341" t="str">
        <f>IF(OR(AM1240="",AM1240=0,AJ1240="",AG1240=""),"",
(IF(AND(AF1232=$P$4,AM1240&lt;=$R$4),$V$4,0)+IF(AND(AF1232=$P$5,AM1240&lt;=$R$5),$V$5,0)+IF(AND(AF1232=$P$6,AM1240&lt;=$R$6),$V$6,0)+IF(AND(AF1232=$P$7,AM1240&lt;=$R$7),$V$7,0))
)</f>
        <v/>
      </c>
      <c r="AF1240" s="153" t="s">
        <v>308</v>
      </c>
      <c r="AG1240" s="598"/>
      <c r="AH1240" s="599"/>
      <c r="AI1240" s="600"/>
      <c r="AJ1240" s="598"/>
      <c r="AK1240" s="599"/>
      <c r="AL1240" s="600"/>
      <c r="AM1240" s="384"/>
      <c r="AN1240" s="256"/>
      <c r="AO1240" s="388"/>
    </row>
    <row r="1241" spans="4:50" ht="16.2" thickBot="1" x14ac:dyDescent="0.35">
      <c r="D1241" s="203"/>
      <c r="E1241" s="3"/>
      <c r="F1241" s="3"/>
      <c r="G1241" s="3"/>
      <c r="H1241" s="3"/>
      <c r="I1241" s="3"/>
      <c r="J1241" s="3"/>
      <c r="K1241" s="3"/>
      <c r="L1241" s="3"/>
      <c r="M1241" s="3"/>
      <c r="N1241" s="204"/>
      <c r="P1241" s="2"/>
      <c r="AD1241" s="203"/>
      <c r="AE1241" s="3"/>
      <c r="AF1241" s="3"/>
      <c r="AG1241" s="3"/>
      <c r="AH1241" s="3"/>
      <c r="AI1241" s="3"/>
      <c r="AJ1241" s="3"/>
      <c r="AK1241" s="3"/>
      <c r="AL1241" s="3"/>
      <c r="AM1241" s="3"/>
      <c r="AN1241" s="204"/>
      <c r="AP1241" s="2"/>
    </row>
    <row r="1242" spans="4:50" x14ac:dyDescent="0.3">
      <c r="D1242" s="597"/>
      <c r="E1242" s="597"/>
      <c r="F1242" s="597"/>
      <c r="G1242" s="597"/>
      <c r="H1242" s="597"/>
      <c r="I1242" s="597"/>
      <c r="J1242" s="597"/>
      <c r="K1242" s="597"/>
      <c r="L1242" s="597"/>
      <c r="M1242" s="597"/>
      <c r="N1242" s="597"/>
      <c r="O1242" s="2"/>
      <c r="AD1242" s="597"/>
      <c r="AE1242" s="597"/>
      <c r="AF1242" s="597"/>
      <c r="AG1242" s="597"/>
      <c r="AH1242" s="597"/>
      <c r="AI1242" s="597"/>
      <c r="AJ1242" s="597"/>
      <c r="AK1242" s="597"/>
      <c r="AL1242" s="597"/>
      <c r="AM1242" s="597"/>
      <c r="AN1242" s="597"/>
      <c r="AO1242" s="2"/>
    </row>
    <row r="1243" spans="4:50" x14ac:dyDescent="0.3">
      <c r="E1243" s="9"/>
      <c r="F1243" s="86"/>
      <c r="G1243" s="9"/>
      <c r="H1243" s="9"/>
      <c r="I1243" s="9"/>
      <c r="J1243" s="168"/>
      <c r="K1243" s="385"/>
      <c r="AE1243" s="9"/>
      <c r="AF1243" s="86"/>
      <c r="AG1243" s="9"/>
      <c r="AH1243" s="9"/>
      <c r="AI1243" s="9"/>
      <c r="AJ1243" s="168"/>
      <c r="AK1243" s="385"/>
    </row>
    <row r="1244" spans="4:50" x14ac:dyDescent="0.3">
      <c r="D1244" s="594"/>
      <c r="E1244" s="594"/>
      <c r="F1244" s="383"/>
      <c r="G1244" s="86"/>
      <c r="H1244" s="201"/>
      <c r="I1244" s="201"/>
      <c r="J1244" s="168"/>
      <c r="K1244" s="385"/>
      <c r="AD1244" s="594"/>
      <c r="AE1244" s="594"/>
      <c r="AF1244" s="383"/>
      <c r="AG1244" s="86"/>
      <c r="AH1244" s="201"/>
      <c r="AI1244" s="201"/>
      <c r="AJ1244" s="168"/>
      <c r="AK1244" s="385"/>
    </row>
    <row r="1245" spans="4:50" x14ac:dyDescent="0.3">
      <c r="D1245" s="230"/>
      <c r="E1245" s="230"/>
      <c r="F1245" s="9"/>
      <c r="G1245" s="9"/>
      <c r="H1245" s="9"/>
      <c r="I1245" s="9"/>
      <c r="J1245" s="9"/>
      <c r="K1245" s="9"/>
      <c r="L1245" s="9"/>
      <c r="M1245" s="9"/>
      <c r="N1245" s="9"/>
      <c r="O1245" s="9"/>
      <c r="AD1245" s="230"/>
      <c r="AE1245" s="230"/>
      <c r="AF1245" s="9"/>
      <c r="AG1245" s="9"/>
      <c r="AH1245" s="9"/>
      <c r="AI1245" s="9"/>
      <c r="AJ1245" s="9"/>
      <c r="AK1245" s="9"/>
      <c r="AL1245" s="9"/>
      <c r="AM1245" s="9"/>
      <c r="AN1245" s="9"/>
      <c r="AO1245" s="9"/>
    </row>
    <row r="1246" spans="4:50" x14ac:dyDescent="0.3">
      <c r="D1246" s="230"/>
      <c r="E1246" s="230"/>
      <c r="F1246" s="140"/>
      <c r="G1246" s="595"/>
      <c r="H1246" s="595"/>
      <c r="I1246" s="595"/>
      <c r="J1246" s="595"/>
      <c r="K1246" s="595"/>
      <c r="L1246" s="595"/>
      <c r="M1246" s="595"/>
      <c r="N1246" s="386"/>
      <c r="O1246" s="386"/>
      <c r="AD1246" s="230"/>
      <c r="AE1246" s="230"/>
      <c r="AF1246" s="140"/>
      <c r="AG1246" s="595"/>
      <c r="AH1246" s="595"/>
      <c r="AI1246" s="595"/>
      <c r="AJ1246" s="595"/>
      <c r="AK1246" s="595"/>
      <c r="AL1246" s="595"/>
      <c r="AM1246" s="595"/>
      <c r="AN1246" s="386"/>
      <c r="AO1246" s="386"/>
    </row>
    <row r="1247" spans="4:50" x14ac:dyDescent="0.3">
      <c r="D1247" s="230"/>
      <c r="E1247" s="230"/>
      <c r="F1247" s="140"/>
      <c r="G1247" s="387"/>
      <c r="H1247" s="387"/>
      <c r="I1247" s="387"/>
      <c r="J1247" s="387"/>
      <c r="K1247" s="387"/>
      <c r="L1247" s="387"/>
      <c r="M1247" s="387"/>
      <c r="N1247" s="386"/>
      <c r="O1247" s="386"/>
      <c r="AD1247" s="230"/>
      <c r="AE1247" s="230"/>
      <c r="AF1247" s="140"/>
      <c r="AG1247" s="387"/>
      <c r="AH1247" s="387"/>
      <c r="AI1247" s="387"/>
      <c r="AJ1247" s="387"/>
      <c r="AK1247" s="387"/>
      <c r="AL1247" s="387"/>
      <c r="AM1247" s="387"/>
      <c r="AN1247" s="386"/>
      <c r="AO1247" s="386"/>
    </row>
    <row r="1248" spans="4:50" x14ac:dyDescent="0.3">
      <c r="D1248" s="230"/>
      <c r="E1248" s="230"/>
      <c r="F1248" s="140"/>
      <c r="G1248" s="387"/>
      <c r="H1248" s="387"/>
      <c r="I1248" s="387"/>
      <c r="J1248" s="387"/>
      <c r="K1248" s="387"/>
      <c r="L1248" s="387"/>
      <c r="M1248" s="387"/>
      <c r="N1248" s="386"/>
      <c r="O1248" s="386"/>
      <c r="AD1248" s="230"/>
      <c r="AE1248" s="230"/>
      <c r="AF1248" s="140"/>
      <c r="AG1248" s="387"/>
      <c r="AH1248" s="387"/>
      <c r="AI1248" s="387"/>
      <c r="AJ1248" s="387"/>
      <c r="AK1248" s="387"/>
      <c r="AL1248" s="387"/>
      <c r="AM1248" s="387"/>
      <c r="AN1248" s="386"/>
      <c r="AO1248" s="386"/>
    </row>
    <row r="1249" spans="4:41" x14ac:dyDescent="0.3">
      <c r="D1249" s="230"/>
      <c r="E1249" s="230"/>
      <c r="F1249" s="140"/>
      <c r="G1249" s="387"/>
      <c r="H1249" s="387"/>
      <c r="I1249" s="387"/>
      <c r="J1249" s="387"/>
      <c r="K1249" s="387"/>
      <c r="L1249" s="387"/>
      <c r="M1249" s="387"/>
      <c r="N1249" s="386"/>
      <c r="O1249" s="386"/>
      <c r="AD1249" s="230"/>
      <c r="AE1249" s="230"/>
      <c r="AF1249" s="140"/>
      <c r="AG1249" s="387"/>
      <c r="AH1249" s="387"/>
      <c r="AI1249" s="387"/>
      <c r="AJ1249" s="387"/>
      <c r="AK1249" s="387"/>
      <c r="AL1249" s="387"/>
      <c r="AM1249" s="387"/>
      <c r="AN1249" s="386"/>
      <c r="AO1249" s="386"/>
    </row>
    <row r="1250" spans="4:41" x14ac:dyDescent="0.3">
      <c r="D1250" s="230"/>
      <c r="E1250" s="230"/>
      <c r="F1250" s="140"/>
      <c r="G1250" s="595"/>
      <c r="H1250" s="595"/>
      <c r="I1250" s="595"/>
      <c r="J1250" s="595"/>
      <c r="K1250" s="595"/>
      <c r="L1250" s="595"/>
      <c r="M1250" s="595"/>
      <c r="N1250" s="386"/>
      <c r="O1250" s="386"/>
      <c r="AD1250" s="230"/>
      <c r="AE1250" s="230"/>
      <c r="AF1250" s="140"/>
      <c r="AG1250" s="595"/>
      <c r="AH1250" s="595"/>
      <c r="AI1250" s="595"/>
      <c r="AJ1250" s="595"/>
      <c r="AK1250" s="595"/>
      <c r="AL1250" s="595"/>
      <c r="AM1250" s="595"/>
      <c r="AN1250" s="386"/>
      <c r="AO1250" s="386"/>
    </row>
    <row r="1251" spans="4:41" x14ac:dyDescent="0.3">
      <c r="D1251" s="230"/>
      <c r="E1251" s="230"/>
      <c r="F1251" s="140"/>
      <c r="G1251" s="387"/>
      <c r="H1251" s="387"/>
      <c r="I1251" s="387"/>
      <c r="J1251" s="387"/>
      <c r="K1251" s="387"/>
      <c r="L1251" s="387"/>
      <c r="M1251" s="387"/>
      <c r="N1251" s="386"/>
      <c r="O1251" s="386"/>
      <c r="AD1251" s="230"/>
      <c r="AE1251" s="230"/>
      <c r="AF1251" s="140"/>
      <c r="AG1251" s="387"/>
      <c r="AH1251" s="387"/>
      <c r="AI1251" s="387"/>
      <c r="AJ1251" s="387"/>
      <c r="AK1251" s="387"/>
      <c r="AL1251" s="387"/>
      <c r="AM1251" s="387"/>
      <c r="AN1251" s="386"/>
      <c r="AO1251" s="386"/>
    </row>
    <row r="1252" spans="4:41" x14ac:dyDescent="0.3">
      <c r="D1252" s="230"/>
      <c r="E1252" s="230"/>
      <c r="F1252" s="140"/>
      <c r="G1252" s="595"/>
      <c r="H1252" s="595"/>
      <c r="I1252" s="595"/>
      <c r="J1252" s="595"/>
      <c r="K1252" s="595"/>
      <c r="L1252" s="595"/>
      <c r="M1252" s="595"/>
      <c r="N1252" s="386"/>
      <c r="O1252" s="386"/>
      <c r="AD1252" s="230"/>
      <c r="AE1252" s="230"/>
      <c r="AF1252" s="140"/>
      <c r="AG1252" s="595"/>
      <c r="AH1252" s="595"/>
      <c r="AI1252" s="595"/>
      <c r="AJ1252" s="595"/>
      <c r="AK1252" s="595"/>
      <c r="AL1252" s="595"/>
      <c r="AM1252" s="595"/>
      <c r="AN1252" s="386"/>
      <c r="AO1252" s="386"/>
    </row>
    <row r="1254" spans="4:41" x14ac:dyDescent="0.3">
      <c r="D1254" s="571"/>
      <c r="E1254" s="571"/>
      <c r="F1254" s="571"/>
      <c r="G1254" s="571"/>
      <c r="H1254" s="571"/>
      <c r="I1254" s="571"/>
      <c r="J1254" s="571"/>
      <c r="K1254" s="571"/>
      <c r="L1254" s="571"/>
      <c r="M1254" s="571"/>
      <c r="N1254" s="571"/>
      <c r="O1254" s="2"/>
      <c r="AD1254" s="571"/>
      <c r="AE1254" s="571"/>
      <c r="AF1254" s="571"/>
      <c r="AG1254" s="571"/>
      <c r="AH1254" s="571"/>
      <c r="AI1254" s="571"/>
      <c r="AJ1254" s="571"/>
      <c r="AK1254" s="571"/>
      <c r="AL1254" s="571"/>
      <c r="AM1254" s="571"/>
      <c r="AN1254" s="571"/>
      <c r="AO1254" s="2"/>
    </row>
    <row r="1255" spans="4:41" x14ac:dyDescent="0.3">
      <c r="E1255" s="9"/>
      <c r="F1255" s="86"/>
      <c r="G1255" s="9"/>
      <c r="H1255" s="9"/>
      <c r="I1255" s="9"/>
      <c r="J1255" s="168"/>
      <c r="K1255" s="385"/>
      <c r="AE1255" s="9"/>
      <c r="AF1255" s="86"/>
      <c r="AG1255" s="9"/>
      <c r="AH1255" s="9"/>
      <c r="AI1255" s="9"/>
      <c r="AJ1255" s="168"/>
      <c r="AK1255" s="385"/>
    </row>
    <row r="1256" spans="4:41" x14ac:dyDescent="0.3">
      <c r="D1256" s="594"/>
      <c r="E1256" s="594"/>
      <c r="F1256" s="383"/>
      <c r="G1256" s="86"/>
      <c r="H1256" s="201"/>
      <c r="I1256" s="201"/>
      <c r="J1256" s="168"/>
      <c r="K1256" s="385"/>
      <c r="AD1256" s="594"/>
      <c r="AE1256" s="594"/>
      <c r="AF1256" s="383"/>
      <c r="AG1256" s="86"/>
      <c r="AH1256" s="201"/>
      <c r="AI1256" s="201"/>
      <c r="AJ1256" s="168"/>
      <c r="AK1256" s="385"/>
    </row>
    <row r="1257" spans="4:41" x14ac:dyDescent="0.3">
      <c r="D1257" s="230"/>
      <c r="E1257" s="230"/>
      <c r="F1257" s="9"/>
      <c r="G1257" s="9"/>
      <c r="H1257" s="9"/>
      <c r="I1257" s="9"/>
      <c r="J1257" s="9"/>
      <c r="K1257" s="9"/>
      <c r="L1257" s="9"/>
      <c r="M1257" s="9"/>
      <c r="N1257" s="9"/>
      <c r="O1257" s="9"/>
      <c r="AD1257" s="230"/>
      <c r="AE1257" s="230"/>
      <c r="AF1257" s="9"/>
      <c r="AG1257" s="9"/>
      <c r="AH1257" s="9"/>
      <c r="AI1257" s="9"/>
      <c r="AJ1257" s="9"/>
      <c r="AK1257" s="9"/>
      <c r="AL1257" s="9"/>
      <c r="AM1257" s="9"/>
      <c r="AN1257" s="9"/>
      <c r="AO1257" s="9"/>
    </row>
    <row r="1258" spans="4:41" x14ac:dyDescent="0.3">
      <c r="D1258" s="230"/>
      <c r="E1258" s="230"/>
      <c r="F1258" s="140"/>
      <c r="G1258" s="595"/>
      <c r="H1258" s="595"/>
      <c r="I1258" s="595"/>
      <c r="J1258" s="595"/>
      <c r="K1258" s="595"/>
      <c r="L1258" s="595"/>
      <c r="M1258" s="595"/>
      <c r="N1258" s="386"/>
      <c r="O1258" s="386"/>
      <c r="AD1258" s="230"/>
      <c r="AE1258" s="230"/>
      <c r="AF1258" s="140"/>
      <c r="AG1258" s="595"/>
      <c r="AH1258" s="595"/>
      <c r="AI1258" s="595"/>
      <c r="AJ1258" s="595"/>
      <c r="AK1258" s="595"/>
      <c r="AL1258" s="595"/>
      <c r="AM1258" s="595"/>
      <c r="AN1258" s="386"/>
      <c r="AO1258" s="386"/>
    </row>
    <row r="1259" spans="4:41" x14ac:dyDescent="0.3">
      <c r="D1259" s="230"/>
      <c r="E1259" s="230"/>
      <c r="F1259" s="140"/>
      <c r="G1259" s="387"/>
      <c r="H1259" s="387"/>
      <c r="I1259" s="387"/>
      <c r="J1259" s="387"/>
      <c r="K1259" s="387"/>
      <c r="L1259" s="387"/>
      <c r="M1259" s="387"/>
      <c r="N1259" s="386"/>
      <c r="O1259" s="386"/>
      <c r="AD1259" s="230"/>
      <c r="AE1259" s="230"/>
      <c r="AF1259" s="140"/>
      <c r="AG1259" s="387"/>
      <c r="AH1259" s="387"/>
      <c r="AI1259" s="387"/>
      <c r="AJ1259" s="387"/>
      <c r="AK1259" s="387"/>
      <c r="AL1259" s="387"/>
      <c r="AM1259" s="387"/>
      <c r="AN1259" s="386"/>
      <c r="AO1259" s="386"/>
    </row>
    <row r="1260" spans="4:41" x14ac:dyDescent="0.3">
      <c r="D1260" s="230"/>
      <c r="E1260" s="230"/>
      <c r="F1260" s="140"/>
      <c r="G1260" s="387"/>
      <c r="H1260" s="387"/>
      <c r="I1260" s="387"/>
      <c r="J1260" s="387"/>
      <c r="K1260" s="387"/>
      <c r="L1260" s="387"/>
      <c r="M1260" s="387"/>
      <c r="N1260" s="386"/>
      <c r="O1260" s="386"/>
      <c r="AD1260" s="230"/>
      <c r="AE1260" s="230"/>
      <c r="AF1260" s="140"/>
      <c r="AG1260" s="387"/>
      <c r="AH1260" s="387"/>
      <c r="AI1260" s="387"/>
      <c r="AJ1260" s="387"/>
      <c r="AK1260" s="387"/>
      <c r="AL1260" s="387"/>
      <c r="AM1260" s="387"/>
      <c r="AN1260" s="386"/>
      <c r="AO1260" s="386"/>
    </row>
    <row r="1261" spans="4:41" x14ac:dyDescent="0.3">
      <c r="D1261" s="230"/>
      <c r="E1261" s="230"/>
      <c r="F1261" s="140"/>
      <c r="G1261" s="387"/>
      <c r="H1261" s="387"/>
      <c r="I1261" s="387"/>
      <c r="J1261" s="387"/>
      <c r="K1261" s="387"/>
      <c r="L1261" s="387"/>
      <c r="M1261" s="387"/>
      <c r="N1261" s="386"/>
      <c r="O1261" s="386"/>
      <c r="AD1261" s="230"/>
      <c r="AE1261" s="230"/>
      <c r="AF1261" s="140"/>
      <c r="AG1261" s="387"/>
      <c r="AH1261" s="387"/>
      <c r="AI1261" s="387"/>
      <c r="AJ1261" s="387"/>
      <c r="AK1261" s="387"/>
      <c r="AL1261" s="387"/>
      <c r="AM1261" s="387"/>
      <c r="AN1261" s="386"/>
      <c r="AO1261" s="386"/>
    </row>
    <row r="1262" spans="4:41" x14ac:dyDescent="0.3">
      <c r="D1262" s="230"/>
      <c r="E1262" s="230"/>
      <c r="F1262" s="140"/>
      <c r="G1262" s="595"/>
      <c r="H1262" s="595"/>
      <c r="I1262" s="595"/>
      <c r="J1262" s="595"/>
      <c r="K1262" s="595"/>
      <c r="L1262" s="595"/>
      <c r="M1262" s="595"/>
      <c r="N1262" s="386"/>
      <c r="O1262" s="386"/>
      <c r="AD1262" s="230"/>
      <c r="AE1262" s="230"/>
      <c r="AF1262" s="140"/>
      <c r="AG1262" s="595"/>
      <c r="AH1262" s="595"/>
      <c r="AI1262" s="595"/>
      <c r="AJ1262" s="595"/>
      <c r="AK1262" s="595"/>
      <c r="AL1262" s="595"/>
      <c r="AM1262" s="595"/>
      <c r="AN1262" s="386"/>
      <c r="AO1262" s="386"/>
    </row>
    <row r="1263" spans="4:41" x14ac:dyDescent="0.3">
      <c r="D1263" s="230"/>
      <c r="E1263" s="230"/>
      <c r="F1263" s="140"/>
      <c r="G1263" s="387"/>
      <c r="H1263" s="387"/>
      <c r="I1263" s="387"/>
      <c r="J1263" s="387"/>
      <c r="K1263" s="387"/>
      <c r="L1263" s="387"/>
      <c r="M1263" s="387"/>
      <c r="N1263" s="386"/>
      <c r="O1263" s="386"/>
      <c r="AD1263" s="230"/>
      <c r="AE1263" s="230"/>
      <c r="AF1263" s="140"/>
      <c r="AG1263" s="387"/>
      <c r="AH1263" s="387"/>
      <c r="AI1263" s="387"/>
      <c r="AJ1263" s="387"/>
      <c r="AK1263" s="387"/>
      <c r="AL1263" s="387"/>
      <c r="AM1263" s="387"/>
      <c r="AN1263" s="386"/>
      <c r="AO1263" s="386"/>
    </row>
    <row r="1264" spans="4:41" x14ac:dyDescent="0.3">
      <c r="D1264" s="230"/>
      <c r="E1264" s="230"/>
      <c r="F1264" s="140"/>
      <c r="G1264" s="595"/>
      <c r="H1264" s="595"/>
      <c r="I1264" s="595"/>
      <c r="J1264" s="595"/>
      <c r="K1264" s="595"/>
      <c r="L1264" s="595"/>
      <c r="M1264" s="595"/>
      <c r="N1264" s="386"/>
      <c r="O1264" s="386"/>
      <c r="AD1264" s="230"/>
      <c r="AE1264" s="230"/>
      <c r="AF1264" s="140"/>
      <c r="AG1264" s="595"/>
      <c r="AH1264" s="595"/>
      <c r="AI1264" s="595"/>
      <c r="AJ1264" s="595"/>
      <c r="AK1264" s="595"/>
      <c r="AL1264" s="595"/>
      <c r="AM1264" s="595"/>
      <c r="AN1264" s="386"/>
      <c r="AO1264" s="386"/>
    </row>
    <row r="1266" spans="4:41" x14ac:dyDescent="0.3">
      <c r="D1266" s="571"/>
      <c r="E1266" s="571"/>
      <c r="F1266" s="571"/>
      <c r="G1266" s="571"/>
      <c r="H1266" s="571"/>
      <c r="I1266" s="571"/>
      <c r="J1266" s="571"/>
      <c r="K1266" s="571"/>
      <c r="L1266" s="571"/>
      <c r="M1266" s="571"/>
      <c r="N1266" s="571"/>
      <c r="O1266" s="2"/>
      <c r="AD1266" s="571"/>
      <c r="AE1266" s="571"/>
      <c r="AF1266" s="571"/>
      <c r="AG1266" s="571"/>
      <c r="AH1266" s="571"/>
      <c r="AI1266" s="571"/>
      <c r="AJ1266" s="571"/>
      <c r="AK1266" s="571"/>
      <c r="AL1266" s="571"/>
      <c r="AM1266" s="571"/>
      <c r="AN1266" s="571"/>
      <c r="AO1266" s="2"/>
    </row>
    <row r="1267" spans="4:41" x14ac:dyDescent="0.3">
      <c r="E1267" s="9"/>
      <c r="F1267" s="86"/>
      <c r="G1267" s="9"/>
      <c r="H1267" s="9"/>
      <c r="I1267" s="9"/>
      <c r="J1267" s="168"/>
      <c r="K1267" s="385"/>
      <c r="AE1267" s="9"/>
      <c r="AF1267" s="86"/>
      <c r="AG1267" s="9"/>
      <c r="AH1267" s="9"/>
      <c r="AI1267" s="9"/>
      <c r="AJ1267" s="168"/>
      <c r="AK1267" s="385"/>
    </row>
    <row r="1268" spans="4:41" x14ac:dyDescent="0.3">
      <c r="D1268" s="594"/>
      <c r="E1268" s="594"/>
      <c r="F1268" s="383"/>
      <c r="G1268" s="86"/>
      <c r="H1268" s="201"/>
      <c r="I1268" s="201"/>
      <c r="J1268" s="168"/>
      <c r="K1268" s="385"/>
      <c r="AD1268" s="594"/>
      <c r="AE1268" s="594"/>
      <c r="AF1268" s="383"/>
      <c r="AG1268" s="86"/>
      <c r="AH1268" s="201"/>
      <c r="AI1268" s="201"/>
      <c r="AJ1268" s="168"/>
      <c r="AK1268" s="385"/>
    </row>
    <row r="1269" spans="4:41" x14ac:dyDescent="0.3">
      <c r="D1269" s="230"/>
      <c r="E1269" s="230"/>
      <c r="F1269" s="9"/>
      <c r="G1269" s="9"/>
      <c r="H1269" s="9"/>
      <c r="I1269" s="9"/>
      <c r="J1269" s="9"/>
      <c r="K1269" s="9"/>
      <c r="L1269" s="9"/>
      <c r="M1269" s="9"/>
      <c r="N1269" s="9"/>
      <c r="O1269" s="9"/>
      <c r="AD1269" s="230"/>
      <c r="AE1269" s="230"/>
      <c r="AF1269" s="9"/>
      <c r="AG1269" s="9"/>
      <c r="AH1269" s="9"/>
      <c r="AI1269" s="9"/>
      <c r="AJ1269" s="9"/>
      <c r="AK1269" s="9"/>
      <c r="AL1269" s="9"/>
      <c r="AM1269" s="9"/>
      <c r="AN1269" s="9"/>
      <c r="AO1269" s="9"/>
    </row>
    <row r="1270" spans="4:41" x14ac:dyDescent="0.3">
      <c r="D1270" s="230"/>
      <c r="E1270" s="230"/>
      <c r="F1270" s="140"/>
      <c r="G1270" s="595"/>
      <c r="H1270" s="595"/>
      <c r="I1270" s="595"/>
      <c r="J1270" s="595"/>
      <c r="K1270" s="595"/>
      <c r="L1270" s="595"/>
      <c r="M1270" s="595"/>
      <c r="N1270" s="386"/>
      <c r="O1270" s="386"/>
      <c r="AD1270" s="230"/>
      <c r="AE1270" s="230"/>
      <c r="AF1270" s="140"/>
      <c r="AG1270" s="595"/>
      <c r="AH1270" s="595"/>
      <c r="AI1270" s="595"/>
      <c r="AJ1270" s="595"/>
      <c r="AK1270" s="595"/>
      <c r="AL1270" s="595"/>
      <c r="AM1270" s="595"/>
      <c r="AN1270" s="386"/>
      <c r="AO1270" s="386"/>
    </row>
    <row r="1271" spans="4:41" x14ac:dyDescent="0.3">
      <c r="D1271" s="230"/>
      <c r="E1271" s="230"/>
      <c r="F1271" s="140"/>
      <c r="G1271" s="387"/>
      <c r="H1271" s="387"/>
      <c r="I1271" s="387"/>
      <c r="J1271" s="387"/>
      <c r="K1271" s="387"/>
      <c r="L1271" s="387"/>
      <c r="M1271" s="387"/>
      <c r="N1271" s="386"/>
      <c r="O1271" s="386"/>
      <c r="AD1271" s="230"/>
      <c r="AE1271" s="230"/>
      <c r="AF1271" s="140"/>
      <c r="AG1271" s="387"/>
      <c r="AH1271" s="387"/>
      <c r="AI1271" s="387"/>
      <c r="AJ1271" s="387"/>
      <c r="AK1271" s="387"/>
      <c r="AL1271" s="387"/>
      <c r="AM1271" s="387"/>
      <c r="AN1271" s="386"/>
      <c r="AO1271" s="386"/>
    </row>
    <row r="1272" spans="4:41" x14ac:dyDescent="0.3">
      <c r="D1272" s="230"/>
      <c r="E1272" s="230"/>
      <c r="F1272" s="140"/>
      <c r="G1272" s="387"/>
      <c r="H1272" s="387"/>
      <c r="I1272" s="387"/>
      <c r="J1272" s="387"/>
      <c r="K1272" s="387"/>
      <c r="L1272" s="387"/>
      <c r="M1272" s="387"/>
      <c r="N1272" s="386"/>
      <c r="O1272" s="386"/>
      <c r="AD1272" s="230"/>
      <c r="AE1272" s="230"/>
      <c r="AF1272" s="140"/>
      <c r="AG1272" s="387"/>
      <c r="AH1272" s="387"/>
      <c r="AI1272" s="387"/>
      <c r="AJ1272" s="387"/>
      <c r="AK1272" s="387"/>
      <c r="AL1272" s="387"/>
      <c r="AM1272" s="387"/>
      <c r="AN1272" s="386"/>
      <c r="AO1272" s="386"/>
    </row>
    <row r="1273" spans="4:41" x14ac:dyDescent="0.3">
      <c r="D1273" s="230"/>
      <c r="E1273" s="230"/>
      <c r="F1273" s="140"/>
      <c r="G1273" s="387"/>
      <c r="H1273" s="387"/>
      <c r="I1273" s="387"/>
      <c r="J1273" s="387"/>
      <c r="K1273" s="387"/>
      <c r="L1273" s="387"/>
      <c r="M1273" s="387"/>
      <c r="N1273" s="386"/>
      <c r="O1273" s="386"/>
      <c r="AD1273" s="230"/>
      <c r="AE1273" s="230"/>
      <c r="AF1273" s="140"/>
      <c r="AG1273" s="387"/>
      <c r="AH1273" s="387"/>
      <c r="AI1273" s="387"/>
      <c r="AJ1273" s="387"/>
      <c r="AK1273" s="387"/>
      <c r="AL1273" s="387"/>
      <c r="AM1273" s="387"/>
      <c r="AN1273" s="386"/>
      <c r="AO1273" s="386"/>
    </row>
    <row r="1274" spans="4:41" x14ac:dyDescent="0.3">
      <c r="D1274" s="230"/>
      <c r="E1274" s="230"/>
      <c r="F1274" s="140"/>
      <c r="G1274" s="595"/>
      <c r="H1274" s="595"/>
      <c r="I1274" s="595"/>
      <c r="J1274" s="595"/>
      <c r="K1274" s="595"/>
      <c r="L1274" s="595"/>
      <c r="M1274" s="595"/>
      <c r="N1274" s="386"/>
      <c r="O1274" s="386"/>
      <c r="AD1274" s="230"/>
      <c r="AE1274" s="230"/>
      <c r="AF1274" s="140"/>
      <c r="AG1274" s="595"/>
      <c r="AH1274" s="595"/>
      <c r="AI1274" s="595"/>
      <c r="AJ1274" s="595"/>
      <c r="AK1274" s="595"/>
      <c r="AL1274" s="595"/>
      <c r="AM1274" s="595"/>
      <c r="AN1274" s="386"/>
      <c r="AO1274" s="386"/>
    </row>
    <row r="1275" spans="4:41" x14ac:dyDescent="0.3">
      <c r="D1275" s="230"/>
      <c r="E1275" s="230"/>
      <c r="F1275" s="140"/>
      <c r="G1275" s="387"/>
      <c r="H1275" s="387"/>
      <c r="I1275" s="387"/>
      <c r="J1275" s="387"/>
      <c r="K1275" s="387"/>
      <c r="L1275" s="387"/>
      <c r="M1275" s="387"/>
      <c r="N1275" s="386"/>
      <c r="O1275" s="386"/>
      <c r="AD1275" s="230"/>
      <c r="AE1275" s="230"/>
      <c r="AF1275" s="140"/>
      <c r="AG1275" s="387"/>
      <c r="AH1275" s="387"/>
      <c r="AI1275" s="387"/>
      <c r="AJ1275" s="387"/>
      <c r="AK1275" s="387"/>
      <c r="AL1275" s="387"/>
      <c r="AM1275" s="387"/>
      <c r="AN1275" s="386"/>
      <c r="AO1275" s="386"/>
    </row>
    <row r="1276" spans="4:41" x14ac:dyDescent="0.3">
      <c r="D1276" s="230"/>
      <c r="E1276" s="230"/>
      <c r="F1276" s="140"/>
      <c r="G1276" s="595"/>
      <c r="H1276" s="595"/>
      <c r="I1276" s="595"/>
      <c r="J1276" s="595"/>
      <c r="K1276" s="595"/>
      <c r="L1276" s="595"/>
      <c r="M1276" s="595"/>
      <c r="N1276" s="386"/>
      <c r="O1276" s="386"/>
      <c r="AD1276" s="230"/>
      <c r="AE1276" s="230"/>
      <c r="AF1276" s="140"/>
      <c r="AG1276" s="595"/>
      <c r="AH1276" s="595"/>
      <c r="AI1276" s="595"/>
      <c r="AJ1276" s="595"/>
      <c r="AK1276" s="595"/>
      <c r="AL1276" s="595"/>
      <c r="AM1276" s="595"/>
      <c r="AN1276" s="386"/>
      <c r="AO1276" s="386"/>
    </row>
    <row r="1278" spans="4:41" x14ac:dyDescent="0.3">
      <c r="D1278" s="571"/>
      <c r="E1278" s="571"/>
      <c r="F1278" s="571"/>
      <c r="G1278" s="571"/>
      <c r="H1278" s="571"/>
      <c r="I1278" s="571"/>
      <c r="J1278" s="571"/>
      <c r="K1278" s="571"/>
      <c r="L1278" s="571"/>
      <c r="M1278" s="571"/>
      <c r="N1278" s="571"/>
      <c r="O1278" s="2"/>
      <c r="AD1278" s="571"/>
      <c r="AE1278" s="571"/>
      <c r="AF1278" s="571"/>
      <c r="AG1278" s="571"/>
      <c r="AH1278" s="571"/>
      <c r="AI1278" s="571"/>
      <c r="AJ1278" s="571"/>
      <c r="AK1278" s="571"/>
      <c r="AL1278" s="571"/>
      <c r="AM1278" s="571"/>
      <c r="AN1278" s="571"/>
      <c r="AO1278" s="2"/>
    </row>
    <row r="1279" spans="4:41" x14ac:dyDescent="0.3">
      <c r="E1279" s="9"/>
      <c r="F1279" s="86"/>
      <c r="G1279" s="9"/>
      <c r="H1279" s="9"/>
      <c r="I1279" s="9"/>
      <c r="J1279" s="168"/>
      <c r="K1279" s="385"/>
      <c r="AE1279" s="9"/>
      <c r="AF1279" s="86"/>
      <c r="AG1279" s="9"/>
      <c r="AH1279" s="9"/>
      <c r="AI1279" s="9"/>
      <c r="AJ1279" s="168"/>
      <c r="AK1279" s="385"/>
    </row>
    <row r="1280" spans="4:41" x14ac:dyDescent="0.3">
      <c r="D1280" s="594"/>
      <c r="E1280" s="594"/>
      <c r="F1280" s="383"/>
      <c r="G1280" s="86"/>
      <c r="H1280" s="201"/>
      <c r="I1280" s="201"/>
      <c r="J1280" s="168"/>
      <c r="K1280" s="385"/>
      <c r="AD1280" s="594"/>
      <c r="AE1280" s="594"/>
      <c r="AF1280" s="383"/>
      <c r="AG1280" s="86"/>
      <c r="AH1280" s="201"/>
      <c r="AI1280" s="201"/>
      <c r="AJ1280" s="168"/>
      <c r="AK1280" s="385"/>
    </row>
    <row r="1281" spans="4:41" x14ac:dyDescent="0.3">
      <c r="D1281" s="230"/>
      <c r="E1281" s="230"/>
      <c r="F1281" s="9"/>
      <c r="G1281" s="9"/>
      <c r="H1281" s="9"/>
      <c r="I1281" s="9"/>
      <c r="J1281" s="9"/>
      <c r="K1281" s="9"/>
      <c r="L1281" s="9"/>
      <c r="M1281" s="9"/>
      <c r="N1281" s="9"/>
      <c r="O1281" s="9"/>
      <c r="AD1281" s="230"/>
      <c r="AE1281" s="230"/>
      <c r="AF1281" s="9"/>
      <c r="AG1281" s="9"/>
      <c r="AH1281" s="9"/>
      <c r="AI1281" s="9"/>
      <c r="AJ1281" s="9"/>
      <c r="AK1281" s="9"/>
      <c r="AL1281" s="9"/>
      <c r="AM1281" s="9"/>
      <c r="AN1281" s="9"/>
      <c r="AO1281" s="9"/>
    </row>
    <row r="1282" spans="4:41" x14ac:dyDescent="0.3">
      <c r="D1282" s="230"/>
      <c r="E1282" s="230"/>
      <c r="F1282" s="140"/>
      <c r="G1282" s="595"/>
      <c r="H1282" s="595"/>
      <c r="I1282" s="595"/>
      <c r="J1282" s="595"/>
      <c r="K1282" s="595"/>
      <c r="L1282" s="595"/>
      <c r="M1282" s="595"/>
      <c r="N1282" s="386"/>
      <c r="O1282" s="386"/>
      <c r="AD1282" s="230"/>
      <c r="AE1282" s="230"/>
      <c r="AF1282" s="140"/>
      <c r="AG1282" s="595"/>
      <c r="AH1282" s="595"/>
      <c r="AI1282" s="595"/>
      <c r="AJ1282" s="595"/>
      <c r="AK1282" s="595"/>
      <c r="AL1282" s="595"/>
      <c r="AM1282" s="595"/>
      <c r="AN1282" s="386"/>
      <c r="AO1282" s="386"/>
    </row>
    <row r="1283" spans="4:41" x14ac:dyDescent="0.3">
      <c r="D1283" s="230"/>
      <c r="E1283" s="230"/>
      <c r="F1283" s="140"/>
      <c r="G1283" s="387"/>
      <c r="H1283" s="387"/>
      <c r="I1283" s="387"/>
      <c r="J1283" s="387"/>
      <c r="K1283" s="387"/>
      <c r="L1283" s="387"/>
      <c r="M1283" s="387"/>
      <c r="N1283" s="386"/>
      <c r="O1283" s="386"/>
      <c r="AD1283" s="230"/>
      <c r="AE1283" s="230"/>
      <c r="AF1283" s="140"/>
      <c r="AG1283" s="387"/>
      <c r="AH1283" s="387"/>
      <c r="AI1283" s="387"/>
      <c r="AJ1283" s="387"/>
      <c r="AK1283" s="387"/>
      <c r="AL1283" s="387"/>
      <c r="AM1283" s="387"/>
      <c r="AN1283" s="386"/>
      <c r="AO1283" s="386"/>
    </row>
    <row r="1284" spans="4:41" x14ac:dyDescent="0.3">
      <c r="D1284" s="230"/>
      <c r="E1284" s="230"/>
      <c r="F1284" s="140"/>
      <c r="G1284" s="387"/>
      <c r="H1284" s="387"/>
      <c r="I1284" s="387"/>
      <c r="J1284" s="387"/>
      <c r="K1284" s="387"/>
      <c r="L1284" s="387"/>
      <c r="M1284" s="387"/>
      <c r="N1284" s="386"/>
      <c r="O1284" s="386"/>
      <c r="AD1284" s="230"/>
      <c r="AE1284" s="230"/>
      <c r="AF1284" s="140"/>
      <c r="AG1284" s="387"/>
      <c r="AH1284" s="387"/>
      <c r="AI1284" s="387"/>
      <c r="AJ1284" s="387"/>
      <c r="AK1284" s="387"/>
      <c r="AL1284" s="387"/>
      <c r="AM1284" s="387"/>
      <c r="AN1284" s="386"/>
      <c r="AO1284" s="386"/>
    </row>
    <row r="1285" spans="4:41" x14ac:dyDescent="0.3">
      <c r="D1285" s="230"/>
      <c r="E1285" s="230"/>
      <c r="F1285" s="140"/>
      <c r="G1285" s="387"/>
      <c r="H1285" s="387"/>
      <c r="I1285" s="387"/>
      <c r="J1285" s="387"/>
      <c r="K1285" s="387"/>
      <c r="L1285" s="387"/>
      <c r="M1285" s="387"/>
      <c r="N1285" s="386"/>
      <c r="O1285" s="386"/>
      <c r="AD1285" s="230"/>
      <c r="AE1285" s="230"/>
      <c r="AF1285" s="140"/>
      <c r="AG1285" s="387"/>
      <c r="AH1285" s="387"/>
      <c r="AI1285" s="387"/>
      <c r="AJ1285" s="387"/>
      <c r="AK1285" s="387"/>
      <c r="AL1285" s="387"/>
      <c r="AM1285" s="387"/>
      <c r="AN1285" s="386"/>
      <c r="AO1285" s="386"/>
    </row>
    <row r="1286" spans="4:41" x14ac:dyDescent="0.3">
      <c r="D1286" s="230"/>
      <c r="E1286" s="230"/>
      <c r="F1286" s="140"/>
      <c r="G1286" s="595"/>
      <c r="H1286" s="595"/>
      <c r="I1286" s="595"/>
      <c r="J1286" s="595"/>
      <c r="K1286" s="595"/>
      <c r="L1286" s="595"/>
      <c r="M1286" s="595"/>
      <c r="N1286" s="386"/>
      <c r="O1286" s="386"/>
      <c r="AD1286" s="230"/>
      <c r="AE1286" s="230"/>
      <c r="AF1286" s="140"/>
      <c r="AG1286" s="595"/>
      <c r="AH1286" s="595"/>
      <c r="AI1286" s="595"/>
      <c r="AJ1286" s="595"/>
      <c r="AK1286" s="595"/>
      <c r="AL1286" s="595"/>
      <c r="AM1286" s="595"/>
      <c r="AN1286" s="386"/>
      <c r="AO1286" s="386"/>
    </row>
    <row r="1287" spans="4:41" x14ac:dyDescent="0.3">
      <c r="D1287" s="230"/>
      <c r="E1287" s="230"/>
      <c r="F1287" s="140"/>
      <c r="G1287" s="387"/>
      <c r="H1287" s="387"/>
      <c r="I1287" s="387"/>
      <c r="J1287" s="387"/>
      <c r="K1287" s="387"/>
      <c r="L1287" s="387"/>
      <c r="M1287" s="387"/>
      <c r="N1287" s="386"/>
      <c r="O1287" s="386"/>
      <c r="AD1287" s="230"/>
      <c r="AE1287" s="230"/>
      <c r="AF1287" s="140"/>
      <c r="AG1287" s="387"/>
      <c r="AH1287" s="387"/>
      <c r="AI1287" s="387"/>
      <c r="AJ1287" s="387"/>
      <c r="AK1287" s="387"/>
      <c r="AL1287" s="387"/>
      <c r="AM1287" s="387"/>
      <c r="AN1287" s="386"/>
      <c r="AO1287" s="386"/>
    </row>
    <row r="1288" spans="4:41" x14ac:dyDescent="0.3">
      <c r="D1288" s="230"/>
      <c r="E1288" s="230"/>
      <c r="F1288" s="140"/>
      <c r="G1288" s="595"/>
      <c r="H1288" s="595"/>
      <c r="I1288" s="595"/>
      <c r="J1288" s="595"/>
      <c r="K1288" s="595"/>
      <c r="L1288" s="595"/>
      <c r="M1288" s="595"/>
      <c r="N1288" s="386"/>
      <c r="O1288" s="386"/>
      <c r="AD1288" s="230"/>
      <c r="AE1288" s="230"/>
      <c r="AF1288" s="140"/>
      <c r="AG1288" s="595"/>
      <c r="AH1288" s="595"/>
      <c r="AI1288" s="595"/>
      <c r="AJ1288" s="595"/>
      <c r="AK1288" s="595"/>
      <c r="AL1288" s="595"/>
      <c r="AM1288" s="595"/>
      <c r="AN1288" s="386"/>
      <c r="AO1288" s="386"/>
    </row>
    <row r="1290" spans="4:41" x14ac:dyDescent="0.3">
      <c r="D1290" s="571"/>
      <c r="E1290" s="571"/>
      <c r="F1290" s="571"/>
      <c r="G1290" s="571"/>
      <c r="H1290" s="571"/>
      <c r="I1290" s="571"/>
      <c r="J1290" s="571"/>
      <c r="K1290" s="571"/>
      <c r="L1290" s="571"/>
      <c r="M1290" s="571"/>
      <c r="N1290" s="571"/>
      <c r="O1290" s="2"/>
      <c r="AD1290" s="571"/>
      <c r="AE1290" s="571"/>
      <c r="AF1290" s="571"/>
      <c r="AG1290" s="571"/>
      <c r="AH1290" s="571"/>
      <c r="AI1290" s="571"/>
      <c r="AJ1290" s="571"/>
      <c r="AK1290" s="571"/>
      <c r="AL1290" s="571"/>
      <c r="AM1290" s="571"/>
      <c r="AN1290" s="571"/>
      <c r="AO1290" s="2"/>
    </row>
    <row r="1291" spans="4:41" x14ac:dyDescent="0.3">
      <c r="E1291" s="9"/>
      <c r="F1291" s="86"/>
      <c r="G1291" s="9"/>
      <c r="H1291" s="9"/>
      <c r="I1291" s="9"/>
      <c r="J1291" s="168"/>
      <c r="K1291" s="385"/>
      <c r="AE1291" s="9"/>
      <c r="AF1291" s="86"/>
      <c r="AG1291" s="9"/>
      <c r="AH1291" s="9"/>
      <c r="AI1291" s="9"/>
      <c r="AJ1291" s="168"/>
      <c r="AK1291" s="385"/>
    </row>
    <row r="1292" spans="4:41" x14ac:dyDescent="0.3">
      <c r="D1292" s="594"/>
      <c r="E1292" s="594"/>
      <c r="F1292" s="383"/>
      <c r="G1292" s="86"/>
      <c r="H1292" s="201"/>
      <c r="I1292" s="201"/>
      <c r="J1292" s="168"/>
      <c r="K1292" s="385"/>
      <c r="AD1292" s="594"/>
      <c r="AE1292" s="594"/>
      <c r="AF1292" s="383"/>
      <c r="AG1292" s="86"/>
      <c r="AH1292" s="201"/>
      <c r="AI1292" s="201"/>
      <c r="AJ1292" s="168"/>
      <c r="AK1292" s="385"/>
    </row>
    <row r="1293" spans="4:41" x14ac:dyDescent="0.3">
      <c r="D1293" s="230"/>
      <c r="E1293" s="230"/>
      <c r="F1293" s="9"/>
      <c r="G1293" s="9"/>
      <c r="H1293" s="9"/>
      <c r="I1293" s="9"/>
      <c r="J1293" s="9"/>
      <c r="K1293" s="9"/>
      <c r="L1293" s="9"/>
      <c r="M1293" s="9"/>
      <c r="N1293" s="9"/>
      <c r="O1293" s="9"/>
      <c r="AD1293" s="230"/>
      <c r="AE1293" s="230"/>
      <c r="AF1293" s="9"/>
      <c r="AG1293" s="9"/>
      <c r="AH1293" s="9"/>
      <c r="AI1293" s="9"/>
      <c r="AJ1293" s="9"/>
      <c r="AK1293" s="9"/>
      <c r="AL1293" s="9"/>
      <c r="AM1293" s="9"/>
      <c r="AN1293" s="9"/>
      <c r="AO1293" s="9"/>
    </row>
    <row r="1294" spans="4:41" x14ac:dyDescent="0.3">
      <c r="D1294" s="230"/>
      <c r="E1294" s="230"/>
      <c r="F1294" s="140"/>
      <c r="G1294" s="595"/>
      <c r="H1294" s="595"/>
      <c r="I1294" s="595"/>
      <c r="J1294" s="595"/>
      <c r="K1294" s="595"/>
      <c r="L1294" s="595"/>
      <c r="M1294" s="595"/>
      <c r="N1294" s="386"/>
      <c r="O1294" s="386"/>
      <c r="AD1294" s="230"/>
      <c r="AE1294" s="230"/>
      <c r="AF1294" s="140"/>
      <c r="AG1294" s="595"/>
      <c r="AH1294" s="595"/>
      <c r="AI1294" s="595"/>
      <c r="AJ1294" s="595"/>
      <c r="AK1294" s="595"/>
      <c r="AL1294" s="595"/>
      <c r="AM1294" s="595"/>
      <c r="AN1294" s="386"/>
      <c r="AO1294" s="386"/>
    </row>
    <row r="1295" spans="4:41" x14ac:dyDescent="0.3">
      <c r="D1295" s="230"/>
      <c r="E1295" s="230"/>
      <c r="F1295" s="140"/>
      <c r="G1295" s="387"/>
      <c r="H1295" s="387"/>
      <c r="I1295" s="387"/>
      <c r="J1295" s="387"/>
      <c r="K1295" s="387"/>
      <c r="L1295" s="387"/>
      <c r="M1295" s="387"/>
      <c r="N1295" s="386"/>
      <c r="O1295" s="386"/>
      <c r="AD1295" s="230"/>
      <c r="AE1295" s="230"/>
      <c r="AF1295" s="140"/>
      <c r="AG1295" s="387"/>
      <c r="AH1295" s="387"/>
      <c r="AI1295" s="387"/>
      <c r="AJ1295" s="387"/>
      <c r="AK1295" s="387"/>
      <c r="AL1295" s="387"/>
      <c r="AM1295" s="387"/>
      <c r="AN1295" s="386"/>
      <c r="AO1295" s="386"/>
    </row>
    <row r="1296" spans="4:41" x14ac:dyDescent="0.3">
      <c r="D1296" s="230"/>
      <c r="E1296" s="230"/>
      <c r="F1296" s="140"/>
      <c r="G1296" s="387"/>
      <c r="H1296" s="387"/>
      <c r="I1296" s="387"/>
      <c r="J1296" s="387"/>
      <c r="K1296" s="387"/>
      <c r="L1296" s="387"/>
      <c r="M1296" s="387"/>
      <c r="N1296" s="386"/>
      <c r="O1296" s="386"/>
      <c r="AD1296" s="230"/>
      <c r="AE1296" s="230"/>
      <c r="AF1296" s="140"/>
      <c r="AG1296" s="387"/>
      <c r="AH1296" s="387"/>
      <c r="AI1296" s="387"/>
      <c r="AJ1296" s="387"/>
      <c r="AK1296" s="387"/>
      <c r="AL1296" s="387"/>
      <c r="AM1296" s="387"/>
      <c r="AN1296" s="386"/>
      <c r="AO1296" s="386"/>
    </row>
    <row r="1297" spans="4:41" x14ac:dyDescent="0.3">
      <c r="D1297" s="230"/>
      <c r="E1297" s="230"/>
      <c r="F1297" s="140"/>
      <c r="G1297" s="387"/>
      <c r="H1297" s="387"/>
      <c r="I1297" s="387"/>
      <c r="J1297" s="387"/>
      <c r="K1297" s="387"/>
      <c r="L1297" s="387"/>
      <c r="M1297" s="387"/>
      <c r="N1297" s="386"/>
      <c r="O1297" s="386"/>
      <c r="AD1297" s="230"/>
      <c r="AE1297" s="230"/>
      <c r="AF1297" s="140"/>
      <c r="AG1297" s="387"/>
      <c r="AH1297" s="387"/>
      <c r="AI1297" s="387"/>
      <c r="AJ1297" s="387"/>
      <c r="AK1297" s="387"/>
      <c r="AL1297" s="387"/>
      <c r="AM1297" s="387"/>
      <c r="AN1297" s="386"/>
      <c r="AO1297" s="386"/>
    </row>
    <row r="1298" spans="4:41" x14ac:dyDescent="0.3">
      <c r="D1298" s="230"/>
      <c r="E1298" s="230"/>
      <c r="F1298" s="140"/>
      <c r="G1298" s="595"/>
      <c r="H1298" s="595"/>
      <c r="I1298" s="595"/>
      <c r="J1298" s="595"/>
      <c r="K1298" s="595"/>
      <c r="L1298" s="595"/>
      <c r="M1298" s="595"/>
      <c r="N1298" s="386"/>
      <c r="O1298" s="386"/>
      <c r="AD1298" s="230"/>
      <c r="AE1298" s="230"/>
      <c r="AF1298" s="140"/>
      <c r="AG1298" s="595"/>
      <c r="AH1298" s="595"/>
      <c r="AI1298" s="595"/>
      <c r="AJ1298" s="595"/>
      <c r="AK1298" s="595"/>
      <c r="AL1298" s="595"/>
      <c r="AM1298" s="595"/>
      <c r="AN1298" s="386"/>
      <c r="AO1298" s="386"/>
    </row>
    <row r="1299" spans="4:41" x14ac:dyDescent="0.3">
      <c r="D1299" s="230"/>
      <c r="E1299" s="230"/>
      <c r="F1299" s="140"/>
      <c r="G1299" s="387"/>
      <c r="H1299" s="387"/>
      <c r="I1299" s="387"/>
      <c r="J1299" s="387"/>
      <c r="K1299" s="387"/>
      <c r="L1299" s="387"/>
      <c r="M1299" s="387"/>
      <c r="N1299" s="386"/>
      <c r="O1299" s="386"/>
      <c r="AD1299" s="230"/>
      <c r="AE1299" s="230"/>
      <c r="AF1299" s="140"/>
      <c r="AG1299" s="387"/>
      <c r="AH1299" s="387"/>
      <c r="AI1299" s="387"/>
      <c r="AJ1299" s="387"/>
      <c r="AK1299" s="387"/>
      <c r="AL1299" s="387"/>
      <c r="AM1299" s="387"/>
      <c r="AN1299" s="386"/>
      <c r="AO1299" s="386"/>
    </row>
    <row r="1300" spans="4:41" x14ac:dyDescent="0.3">
      <c r="D1300" s="230"/>
      <c r="E1300" s="230"/>
      <c r="F1300" s="140"/>
      <c r="G1300" s="595"/>
      <c r="H1300" s="595"/>
      <c r="I1300" s="595"/>
      <c r="J1300" s="595"/>
      <c r="K1300" s="595"/>
      <c r="L1300" s="595"/>
      <c r="M1300" s="595"/>
      <c r="N1300" s="386"/>
      <c r="O1300" s="386"/>
      <c r="AD1300" s="230"/>
      <c r="AE1300" s="230"/>
      <c r="AF1300" s="140"/>
      <c r="AG1300" s="595"/>
      <c r="AH1300" s="595"/>
      <c r="AI1300" s="595"/>
      <c r="AJ1300" s="595"/>
      <c r="AK1300" s="595"/>
      <c r="AL1300" s="595"/>
      <c r="AM1300" s="595"/>
      <c r="AN1300" s="386"/>
      <c r="AO1300" s="386"/>
    </row>
    <row r="1302" spans="4:41" x14ac:dyDescent="0.3">
      <c r="D1302" s="571"/>
      <c r="E1302" s="571"/>
      <c r="F1302" s="571"/>
      <c r="G1302" s="571"/>
      <c r="H1302" s="571"/>
      <c r="I1302" s="571"/>
      <c r="J1302" s="571"/>
      <c r="K1302" s="571"/>
      <c r="L1302" s="571"/>
      <c r="M1302" s="571"/>
      <c r="N1302" s="571"/>
      <c r="O1302" s="2"/>
      <c r="AD1302" s="571"/>
      <c r="AE1302" s="571"/>
      <c r="AF1302" s="571"/>
      <c r="AG1302" s="571"/>
      <c r="AH1302" s="571"/>
      <c r="AI1302" s="571"/>
      <c r="AJ1302" s="571"/>
      <c r="AK1302" s="571"/>
      <c r="AL1302" s="571"/>
      <c r="AM1302" s="571"/>
      <c r="AN1302" s="571"/>
      <c r="AO1302" s="2"/>
    </row>
    <row r="1303" spans="4:41" x14ac:dyDescent="0.3">
      <c r="E1303" s="9"/>
      <c r="F1303" s="86"/>
      <c r="G1303" s="9"/>
      <c r="H1303" s="9"/>
      <c r="I1303" s="9"/>
      <c r="J1303" s="168"/>
      <c r="K1303" s="385"/>
      <c r="AE1303" s="9"/>
      <c r="AF1303" s="86"/>
      <c r="AG1303" s="9"/>
      <c r="AH1303" s="9"/>
      <c r="AI1303" s="9"/>
      <c r="AJ1303" s="168"/>
      <c r="AK1303" s="385"/>
    </row>
    <row r="1304" spans="4:41" x14ac:dyDescent="0.3">
      <c r="D1304" s="594"/>
      <c r="E1304" s="594"/>
      <c r="F1304" s="383"/>
      <c r="G1304" s="86"/>
      <c r="H1304" s="201"/>
      <c r="I1304" s="201"/>
      <c r="J1304" s="168"/>
      <c r="K1304" s="385"/>
      <c r="AD1304" s="594"/>
      <c r="AE1304" s="594"/>
      <c r="AF1304" s="383"/>
      <c r="AG1304" s="86"/>
      <c r="AH1304" s="201"/>
      <c r="AI1304" s="201"/>
      <c r="AJ1304" s="168"/>
      <c r="AK1304" s="385"/>
    </row>
    <row r="1305" spans="4:41" x14ac:dyDescent="0.3">
      <c r="D1305" s="230"/>
      <c r="E1305" s="230"/>
      <c r="F1305" s="9"/>
      <c r="G1305" s="9"/>
      <c r="H1305" s="9"/>
      <c r="I1305" s="9"/>
      <c r="J1305" s="9"/>
      <c r="K1305" s="9"/>
      <c r="L1305" s="9"/>
      <c r="M1305" s="9"/>
      <c r="N1305" s="9"/>
      <c r="O1305" s="9"/>
      <c r="AD1305" s="230"/>
      <c r="AE1305" s="230"/>
      <c r="AF1305" s="9"/>
      <c r="AG1305" s="9"/>
      <c r="AH1305" s="9"/>
      <c r="AI1305" s="9"/>
      <c r="AJ1305" s="9"/>
      <c r="AK1305" s="9"/>
      <c r="AL1305" s="9"/>
      <c r="AM1305" s="9"/>
      <c r="AN1305" s="9"/>
      <c r="AO1305" s="9"/>
    </row>
    <row r="1306" spans="4:41" x14ac:dyDescent="0.3">
      <c r="D1306" s="230"/>
      <c r="E1306" s="230"/>
      <c r="F1306" s="140"/>
      <c r="G1306" s="595"/>
      <c r="H1306" s="595"/>
      <c r="I1306" s="595"/>
      <c r="J1306" s="595"/>
      <c r="K1306" s="595"/>
      <c r="L1306" s="595"/>
      <c r="M1306" s="595"/>
      <c r="N1306" s="386"/>
      <c r="O1306" s="386"/>
      <c r="AD1306" s="230"/>
      <c r="AE1306" s="230"/>
      <c r="AF1306" s="140"/>
      <c r="AG1306" s="595"/>
      <c r="AH1306" s="595"/>
      <c r="AI1306" s="595"/>
      <c r="AJ1306" s="595"/>
      <c r="AK1306" s="595"/>
      <c r="AL1306" s="595"/>
      <c r="AM1306" s="595"/>
      <c r="AN1306" s="386"/>
      <c r="AO1306" s="386"/>
    </row>
    <row r="1307" spans="4:41" x14ac:dyDescent="0.3">
      <c r="D1307" s="230"/>
      <c r="E1307" s="230"/>
      <c r="F1307" s="140"/>
      <c r="G1307" s="387"/>
      <c r="H1307" s="387"/>
      <c r="I1307" s="387"/>
      <c r="J1307" s="387"/>
      <c r="K1307" s="387"/>
      <c r="L1307" s="387"/>
      <c r="M1307" s="387"/>
      <c r="N1307" s="386"/>
      <c r="O1307" s="386"/>
      <c r="AD1307" s="230"/>
      <c r="AE1307" s="230"/>
      <c r="AF1307" s="140"/>
      <c r="AG1307" s="387"/>
      <c r="AH1307" s="387"/>
      <c r="AI1307" s="387"/>
      <c r="AJ1307" s="387"/>
      <c r="AK1307" s="387"/>
      <c r="AL1307" s="387"/>
      <c r="AM1307" s="387"/>
      <c r="AN1307" s="386"/>
      <c r="AO1307" s="386"/>
    </row>
    <row r="1308" spans="4:41" x14ac:dyDescent="0.3">
      <c r="D1308" s="230"/>
      <c r="E1308" s="230"/>
      <c r="F1308" s="140"/>
      <c r="G1308" s="387"/>
      <c r="H1308" s="387"/>
      <c r="I1308" s="387"/>
      <c r="J1308" s="387"/>
      <c r="K1308" s="387"/>
      <c r="L1308" s="387"/>
      <c r="M1308" s="387"/>
      <c r="N1308" s="386"/>
      <c r="O1308" s="386"/>
      <c r="AD1308" s="230"/>
      <c r="AE1308" s="230"/>
      <c r="AF1308" s="140"/>
      <c r="AG1308" s="387"/>
      <c r="AH1308" s="387"/>
      <c r="AI1308" s="387"/>
      <c r="AJ1308" s="387"/>
      <c r="AK1308" s="387"/>
      <c r="AL1308" s="387"/>
      <c r="AM1308" s="387"/>
      <c r="AN1308" s="386"/>
      <c r="AO1308" s="386"/>
    </row>
    <row r="1309" spans="4:41" x14ac:dyDescent="0.3">
      <c r="D1309" s="230"/>
      <c r="E1309" s="230"/>
      <c r="F1309" s="140"/>
      <c r="G1309" s="387"/>
      <c r="H1309" s="387"/>
      <c r="I1309" s="387"/>
      <c r="J1309" s="387"/>
      <c r="K1309" s="387"/>
      <c r="L1309" s="387"/>
      <c r="M1309" s="387"/>
      <c r="N1309" s="386"/>
      <c r="O1309" s="386"/>
      <c r="AD1309" s="230"/>
      <c r="AE1309" s="230"/>
      <c r="AF1309" s="140"/>
      <c r="AG1309" s="387"/>
      <c r="AH1309" s="387"/>
      <c r="AI1309" s="387"/>
      <c r="AJ1309" s="387"/>
      <c r="AK1309" s="387"/>
      <c r="AL1309" s="387"/>
      <c r="AM1309" s="387"/>
      <c r="AN1309" s="386"/>
      <c r="AO1309" s="386"/>
    </row>
    <row r="1310" spans="4:41" x14ac:dyDescent="0.3">
      <c r="D1310" s="230"/>
      <c r="E1310" s="230"/>
      <c r="F1310" s="140"/>
      <c r="G1310" s="595"/>
      <c r="H1310" s="595"/>
      <c r="I1310" s="595"/>
      <c r="J1310" s="595"/>
      <c r="K1310" s="595"/>
      <c r="L1310" s="595"/>
      <c r="M1310" s="595"/>
      <c r="N1310" s="386"/>
      <c r="O1310" s="386"/>
      <c r="AD1310" s="230"/>
      <c r="AE1310" s="230"/>
      <c r="AF1310" s="140"/>
      <c r="AG1310" s="595"/>
      <c r="AH1310" s="595"/>
      <c r="AI1310" s="595"/>
      <c r="AJ1310" s="595"/>
      <c r="AK1310" s="595"/>
      <c r="AL1310" s="595"/>
      <c r="AM1310" s="595"/>
      <c r="AN1310" s="386"/>
      <c r="AO1310" s="386"/>
    </row>
    <row r="1311" spans="4:41" x14ac:dyDescent="0.3">
      <c r="D1311" s="230"/>
      <c r="E1311" s="230"/>
      <c r="F1311" s="140"/>
      <c r="G1311" s="387"/>
      <c r="H1311" s="387"/>
      <c r="I1311" s="387"/>
      <c r="J1311" s="387"/>
      <c r="K1311" s="387"/>
      <c r="L1311" s="387"/>
      <c r="M1311" s="387"/>
      <c r="N1311" s="386"/>
      <c r="O1311" s="386"/>
      <c r="AD1311" s="230"/>
      <c r="AE1311" s="230"/>
      <c r="AF1311" s="140"/>
      <c r="AG1311" s="387"/>
      <c r="AH1311" s="387"/>
      <c r="AI1311" s="387"/>
      <c r="AJ1311" s="387"/>
      <c r="AK1311" s="387"/>
      <c r="AL1311" s="387"/>
      <c r="AM1311" s="387"/>
      <c r="AN1311" s="386"/>
      <c r="AO1311" s="386"/>
    </row>
    <row r="1312" spans="4:41" x14ac:dyDescent="0.3">
      <c r="D1312" s="230"/>
      <c r="E1312" s="230"/>
      <c r="F1312" s="140"/>
      <c r="G1312" s="595"/>
      <c r="H1312" s="595"/>
      <c r="I1312" s="595"/>
      <c r="J1312" s="595"/>
      <c r="K1312" s="595"/>
      <c r="L1312" s="595"/>
      <c r="M1312" s="595"/>
      <c r="N1312" s="386"/>
      <c r="O1312" s="386"/>
      <c r="AD1312" s="230"/>
      <c r="AE1312" s="230"/>
      <c r="AF1312" s="140"/>
      <c r="AG1312" s="595"/>
      <c r="AH1312" s="595"/>
      <c r="AI1312" s="595"/>
      <c r="AJ1312" s="595"/>
      <c r="AK1312" s="595"/>
      <c r="AL1312" s="595"/>
      <c r="AM1312" s="595"/>
      <c r="AN1312" s="386"/>
      <c r="AO1312" s="386"/>
    </row>
    <row r="1314" spans="4:41" x14ac:dyDescent="0.3">
      <c r="D1314" s="571"/>
      <c r="E1314" s="571"/>
      <c r="F1314" s="571"/>
      <c r="G1314" s="571"/>
      <c r="H1314" s="571"/>
      <c r="I1314" s="571"/>
      <c r="J1314" s="571"/>
      <c r="K1314" s="571"/>
      <c r="L1314" s="571"/>
      <c r="M1314" s="571"/>
      <c r="N1314" s="571"/>
      <c r="O1314" s="2"/>
      <c r="AD1314" s="571"/>
      <c r="AE1314" s="571"/>
      <c r="AF1314" s="571"/>
      <c r="AG1314" s="571"/>
      <c r="AH1314" s="571"/>
      <c r="AI1314" s="571"/>
      <c r="AJ1314" s="571"/>
      <c r="AK1314" s="571"/>
      <c r="AL1314" s="571"/>
      <c r="AM1314" s="571"/>
      <c r="AN1314" s="571"/>
      <c r="AO1314" s="2"/>
    </row>
    <row r="1315" spans="4:41" x14ac:dyDescent="0.3">
      <c r="E1315" s="9"/>
      <c r="F1315" s="86"/>
      <c r="G1315" s="9"/>
      <c r="H1315" s="9"/>
      <c r="I1315" s="9"/>
      <c r="J1315" s="168"/>
      <c r="K1315" s="385"/>
      <c r="AE1315" s="9"/>
      <c r="AF1315" s="86"/>
      <c r="AG1315" s="9"/>
      <c r="AH1315" s="9"/>
      <c r="AI1315" s="9"/>
      <c r="AJ1315" s="168"/>
      <c r="AK1315" s="385"/>
    </row>
    <row r="1316" spans="4:41" x14ac:dyDescent="0.3">
      <c r="D1316" s="594"/>
      <c r="E1316" s="594"/>
      <c r="F1316" s="383"/>
      <c r="G1316" s="86"/>
      <c r="H1316" s="201"/>
      <c r="I1316" s="201"/>
      <c r="J1316" s="168"/>
      <c r="K1316" s="385"/>
      <c r="AD1316" s="594"/>
      <c r="AE1316" s="594"/>
      <c r="AF1316" s="383"/>
      <c r="AG1316" s="86"/>
      <c r="AH1316" s="201"/>
      <c r="AI1316" s="201"/>
      <c r="AJ1316" s="168"/>
      <c r="AK1316" s="385"/>
    </row>
    <row r="1317" spans="4:41" x14ac:dyDescent="0.3">
      <c r="D1317" s="230"/>
      <c r="E1317" s="230"/>
      <c r="F1317" s="9"/>
      <c r="G1317" s="9"/>
      <c r="H1317" s="9"/>
      <c r="I1317" s="9"/>
      <c r="J1317" s="9"/>
      <c r="K1317" s="9"/>
      <c r="L1317" s="9"/>
      <c r="M1317" s="9"/>
      <c r="N1317" s="9"/>
      <c r="O1317" s="9"/>
      <c r="AD1317" s="230"/>
      <c r="AE1317" s="230"/>
      <c r="AF1317" s="9"/>
      <c r="AG1317" s="9"/>
      <c r="AH1317" s="9"/>
      <c r="AI1317" s="9"/>
      <c r="AJ1317" s="9"/>
      <c r="AK1317" s="9"/>
      <c r="AL1317" s="9"/>
      <c r="AM1317" s="9"/>
      <c r="AN1317" s="9"/>
      <c r="AO1317" s="9"/>
    </row>
    <row r="1318" spans="4:41" x14ac:dyDescent="0.3">
      <c r="D1318" s="230"/>
      <c r="E1318" s="230"/>
      <c r="F1318" s="140"/>
      <c r="G1318" s="595"/>
      <c r="H1318" s="595"/>
      <c r="I1318" s="595"/>
      <c r="J1318" s="595"/>
      <c r="K1318" s="595"/>
      <c r="L1318" s="595"/>
      <c r="M1318" s="595"/>
      <c r="N1318" s="386"/>
      <c r="O1318" s="386"/>
      <c r="AD1318" s="230"/>
      <c r="AE1318" s="230"/>
      <c r="AF1318" s="140"/>
      <c r="AG1318" s="595"/>
      <c r="AH1318" s="595"/>
      <c r="AI1318" s="595"/>
      <c r="AJ1318" s="595"/>
      <c r="AK1318" s="595"/>
      <c r="AL1318" s="595"/>
      <c r="AM1318" s="595"/>
      <c r="AN1318" s="386"/>
      <c r="AO1318" s="386"/>
    </row>
    <row r="1319" spans="4:41" x14ac:dyDescent="0.3">
      <c r="D1319" s="230"/>
      <c r="E1319" s="230"/>
      <c r="F1319" s="140"/>
      <c r="G1319" s="387"/>
      <c r="H1319" s="387"/>
      <c r="I1319" s="387"/>
      <c r="J1319" s="387"/>
      <c r="K1319" s="387"/>
      <c r="L1319" s="387"/>
      <c r="M1319" s="387"/>
      <c r="N1319" s="386"/>
      <c r="O1319" s="386"/>
      <c r="AD1319" s="230"/>
      <c r="AE1319" s="230"/>
      <c r="AF1319" s="140"/>
      <c r="AG1319" s="387"/>
      <c r="AH1319" s="387"/>
      <c r="AI1319" s="387"/>
      <c r="AJ1319" s="387"/>
      <c r="AK1319" s="387"/>
      <c r="AL1319" s="387"/>
      <c r="AM1319" s="387"/>
      <c r="AN1319" s="386"/>
      <c r="AO1319" s="386"/>
    </row>
    <row r="1320" spans="4:41" x14ac:dyDescent="0.3">
      <c r="D1320" s="230"/>
      <c r="E1320" s="230"/>
      <c r="F1320" s="140"/>
      <c r="G1320" s="387"/>
      <c r="H1320" s="387"/>
      <c r="I1320" s="387"/>
      <c r="J1320" s="387"/>
      <c r="K1320" s="387"/>
      <c r="L1320" s="387"/>
      <c r="M1320" s="387"/>
      <c r="N1320" s="386"/>
      <c r="O1320" s="386"/>
      <c r="AD1320" s="230"/>
      <c r="AE1320" s="230"/>
      <c r="AF1320" s="140"/>
      <c r="AG1320" s="387"/>
      <c r="AH1320" s="387"/>
      <c r="AI1320" s="387"/>
      <c r="AJ1320" s="387"/>
      <c r="AK1320" s="387"/>
      <c r="AL1320" s="387"/>
      <c r="AM1320" s="387"/>
      <c r="AN1320" s="386"/>
      <c r="AO1320" s="386"/>
    </row>
    <row r="1321" spans="4:41" x14ac:dyDescent="0.3">
      <c r="D1321" s="230"/>
      <c r="E1321" s="230"/>
      <c r="F1321" s="140"/>
      <c r="G1321" s="387"/>
      <c r="H1321" s="387"/>
      <c r="I1321" s="387"/>
      <c r="J1321" s="387"/>
      <c r="K1321" s="387"/>
      <c r="L1321" s="387"/>
      <c r="M1321" s="387"/>
      <c r="N1321" s="386"/>
      <c r="O1321" s="386"/>
      <c r="AD1321" s="230"/>
      <c r="AE1321" s="230"/>
      <c r="AF1321" s="140"/>
      <c r="AG1321" s="387"/>
      <c r="AH1321" s="387"/>
      <c r="AI1321" s="387"/>
      <c r="AJ1321" s="387"/>
      <c r="AK1321" s="387"/>
      <c r="AL1321" s="387"/>
      <c r="AM1321" s="387"/>
      <c r="AN1321" s="386"/>
      <c r="AO1321" s="386"/>
    </row>
    <row r="1322" spans="4:41" x14ac:dyDescent="0.3">
      <c r="D1322" s="230"/>
      <c r="E1322" s="230"/>
      <c r="F1322" s="140"/>
      <c r="G1322" s="595"/>
      <c r="H1322" s="595"/>
      <c r="I1322" s="595"/>
      <c r="J1322" s="595"/>
      <c r="K1322" s="595"/>
      <c r="L1322" s="595"/>
      <c r="M1322" s="595"/>
      <c r="N1322" s="386"/>
      <c r="O1322" s="386"/>
      <c r="AD1322" s="230"/>
      <c r="AE1322" s="230"/>
      <c r="AF1322" s="140"/>
      <c r="AG1322" s="595"/>
      <c r="AH1322" s="595"/>
      <c r="AI1322" s="595"/>
      <c r="AJ1322" s="595"/>
      <c r="AK1322" s="595"/>
      <c r="AL1322" s="595"/>
      <c r="AM1322" s="595"/>
      <c r="AN1322" s="386"/>
      <c r="AO1322" s="386"/>
    </row>
    <row r="1323" spans="4:41" x14ac:dyDescent="0.3">
      <c r="D1323" s="230"/>
      <c r="E1323" s="230"/>
      <c r="F1323" s="140"/>
      <c r="G1323" s="387"/>
      <c r="H1323" s="387"/>
      <c r="I1323" s="387"/>
      <c r="J1323" s="387"/>
      <c r="K1323" s="387"/>
      <c r="L1323" s="387"/>
      <c r="M1323" s="387"/>
      <c r="N1323" s="386"/>
      <c r="O1323" s="386"/>
      <c r="AD1323" s="230"/>
      <c r="AE1323" s="230"/>
      <c r="AF1323" s="140"/>
      <c r="AG1323" s="387"/>
      <c r="AH1323" s="387"/>
      <c r="AI1323" s="387"/>
      <c r="AJ1323" s="387"/>
      <c r="AK1323" s="387"/>
      <c r="AL1323" s="387"/>
      <c r="AM1323" s="387"/>
      <c r="AN1323" s="386"/>
      <c r="AO1323" s="386"/>
    </row>
    <row r="1324" spans="4:41" x14ac:dyDescent="0.3">
      <c r="D1324" s="230"/>
      <c r="E1324" s="230"/>
      <c r="F1324" s="140"/>
      <c r="G1324" s="595"/>
      <c r="H1324" s="595"/>
      <c r="I1324" s="595"/>
      <c r="J1324" s="595"/>
      <c r="K1324" s="595"/>
      <c r="L1324" s="595"/>
      <c r="M1324" s="595"/>
      <c r="N1324" s="386"/>
      <c r="O1324" s="386"/>
      <c r="AD1324" s="230"/>
      <c r="AE1324" s="230"/>
      <c r="AF1324" s="140"/>
      <c r="AG1324" s="595"/>
      <c r="AH1324" s="595"/>
      <c r="AI1324" s="595"/>
      <c r="AJ1324" s="595"/>
      <c r="AK1324" s="595"/>
      <c r="AL1324" s="595"/>
      <c r="AM1324" s="595"/>
      <c r="AN1324" s="386"/>
      <c r="AO1324" s="386"/>
    </row>
    <row r="1326" spans="4:41" x14ac:dyDescent="0.3">
      <c r="D1326" s="571"/>
      <c r="E1326" s="571"/>
      <c r="F1326" s="571"/>
      <c r="G1326" s="571"/>
      <c r="H1326" s="571"/>
      <c r="I1326" s="571"/>
      <c r="J1326" s="571"/>
      <c r="K1326" s="571"/>
      <c r="L1326" s="571"/>
      <c r="M1326" s="571"/>
      <c r="N1326" s="571"/>
      <c r="O1326" s="2"/>
      <c r="AD1326" s="571"/>
      <c r="AE1326" s="571"/>
      <c r="AF1326" s="571"/>
      <c r="AG1326" s="571"/>
      <c r="AH1326" s="571"/>
      <c r="AI1326" s="571"/>
      <c r="AJ1326" s="571"/>
      <c r="AK1326" s="571"/>
      <c r="AL1326" s="571"/>
      <c r="AM1326" s="571"/>
      <c r="AN1326" s="571"/>
      <c r="AO1326" s="2"/>
    </row>
    <row r="1327" spans="4:41" x14ac:dyDescent="0.3">
      <c r="E1327" s="9"/>
      <c r="F1327" s="86"/>
      <c r="G1327" s="9"/>
      <c r="H1327" s="9"/>
      <c r="I1327" s="9"/>
      <c r="J1327" s="168"/>
      <c r="K1327" s="385"/>
      <c r="AE1327" s="9"/>
      <c r="AF1327" s="86"/>
      <c r="AG1327" s="9"/>
      <c r="AH1327" s="9"/>
      <c r="AI1327" s="9"/>
      <c r="AJ1327" s="168"/>
      <c r="AK1327" s="385"/>
    </row>
    <row r="1328" spans="4:41" x14ac:dyDescent="0.3">
      <c r="D1328" s="594"/>
      <c r="E1328" s="594"/>
      <c r="F1328" s="383"/>
      <c r="G1328" s="86"/>
      <c r="H1328" s="201"/>
      <c r="I1328" s="201"/>
      <c r="J1328" s="168"/>
      <c r="K1328" s="385"/>
      <c r="AD1328" s="594"/>
      <c r="AE1328" s="594"/>
      <c r="AF1328" s="383"/>
      <c r="AG1328" s="86"/>
      <c r="AH1328" s="201"/>
      <c r="AI1328" s="201"/>
      <c r="AJ1328" s="168"/>
      <c r="AK1328" s="385"/>
    </row>
    <row r="1329" spans="4:41" x14ac:dyDescent="0.3">
      <c r="D1329" s="230"/>
      <c r="E1329" s="230"/>
      <c r="F1329" s="9"/>
      <c r="G1329" s="9"/>
      <c r="H1329" s="9"/>
      <c r="I1329" s="9"/>
      <c r="J1329" s="9"/>
      <c r="K1329" s="9"/>
      <c r="L1329" s="9"/>
      <c r="M1329" s="9"/>
      <c r="N1329" s="9"/>
      <c r="O1329" s="9"/>
      <c r="AD1329" s="230"/>
      <c r="AE1329" s="230"/>
      <c r="AF1329" s="9"/>
      <c r="AG1329" s="9"/>
      <c r="AH1329" s="9"/>
      <c r="AI1329" s="9"/>
      <c r="AJ1329" s="9"/>
      <c r="AK1329" s="9"/>
      <c r="AL1329" s="9"/>
      <c r="AM1329" s="9"/>
      <c r="AN1329" s="9"/>
      <c r="AO1329" s="9"/>
    </row>
    <row r="1330" spans="4:41" x14ac:dyDescent="0.3">
      <c r="D1330" s="230"/>
      <c r="E1330" s="230"/>
      <c r="F1330" s="140"/>
      <c r="G1330" s="595"/>
      <c r="H1330" s="595"/>
      <c r="I1330" s="595"/>
      <c r="J1330" s="595"/>
      <c r="K1330" s="595"/>
      <c r="L1330" s="595"/>
      <c r="M1330" s="595"/>
      <c r="N1330" s="386"/>
      <c r="O1330" s="386"/>
      <c r="AD1330" s="230"/>
      <c r="AE1330" s="230"/>
      <c r="AF1330" s="140"/>
      <c r="AG1330" s="595"/>
      <c r="AH1330" s="595"/>
      <c r="AI1330" s="595"/>
      <c r="AJ1330" s="595"/>
      <c r="AK1330" s="595"/>
      <c r="AL1330" s="595"/>
      <c r="AM1330" s="595"/>
      <c r="AN1330" s="386"/>
      <c r="AO1330" s="386"/>
    </row>
    <row r="1331" spans="4:41" x14ac:dyDescent="0.3">
      <c r="D1331" s="230"/>
      <c r="E1331" s="230"/>
      <c r="F1331" s="140"/>
      <c r="G1331" s="387"/>
      <c r="H1331" s="387"/>
      <c r="I1331" s="387"/>
      <c r="J1331" s="387"/>
      <c r="K1331" s="387"/>
      <c r="L1331" s="387"/>
      <c r="M1331" s="387"/>
      <c r="N1331" s="386"/>
      <c r="O1331" s="386"/>
      <c r="AD1331" s="230"/>
      <c r="AE1331" s="230"/>
      <c r="AF1331" s="140"/>
      <c r="AG1331" s="387"/>
      <c r="AH1331" s="387"/>
      <c r="AI1331" s="387"/>
      <c r="AJ1331" s="387"/>
      <c r="AK1331" s="387"/>
      <c r="AL1331" s="387"/>
      <c r="AM1331" s="387"/>
      <c r="AN1331" s="386"/>
      <c r="AO1331" s="386"/>
    </row>
    <row r="1332" spans="4:41" x14ac:dyDescent="0.3">
      <c r="D1332" s="230"/>
      <c r="E1332" s="230"/>
      <c r="F1332" s="140"/>
      <c r="G1332" s="387"/>
      <c r="H1332" s="387"/>
      <c r="I1332" s="387"/>
      <c r="J1332" s="387"/>
      <c r="K1332" s="387"/>
      <c r="L1332" s="387"/>
      <c r="M1332" s="387"/>
      <c r="N1332" s="386"/>
      <c r="O1332" s="386"/>
      <c r="AD1332" s="230"/>
      <c r="AE1332" s="230"/>
      <c r="AF1332" s="140"/>
      <c r="AG1332" s="387"/>
      <c r="AH1332" s="387"/>
      <c r="AI1332" s="387"/>
      <c r="AJ1332" s="387"/>
      <c r="AK1332" s="387"/>
      <c r="AL1332" s="387"/>
      <c r="AM1332" s="387"/>
      <c r="AN1332" s="386"/>
      <c r="AO1332" s="386"/>
    </row>
    <row r="1333" spans="4:41" x14ac:dyDescent="0.3">
      <c r="D1333" s="230"/>
      <c r="E1333" s="230"/>
      <c r="F1333" s="140"/>
      <c r="G1333" s="387"/>
      <c r="H1333" s="387"/>
      <c r="I1333" s="387"/>
      <c r="J1333" s="387"/>
      <c r="K1333" s="387"/>
      <c r="L1333" s="387"/>
      <c r="M1333" s="387"/>
      <c r="N1333" s="386"/>
      <c r="O1333" s="386"/>
      <c r="AD1333" s="230"/>
      <c r="AE1333" s="230"/>
      <c r="AF1333" s="140"/>
      <c r="AG1333" s="387"/>
      <c r="AH1333" s="387"/>
      <c r="AI1333" s="387"/>
      <c r="AJ1333" s="387"/>
      <c r="AK1333" s="387"/>
      <c r="AL1333" s="387"/>
      <c r="AM1333" s="387"/>
      <c r="AN1333" s="386"/>
      <c r="AO1333" s="386"/>
    </row>
    <row r="1334" spans="4:41" x14ac:dyDescent="0.3">
      <c r="D1334" s="230"/>
      <c r="E1334" s="230"/>
      <c r="F1334" s="140"/>
      <c r="G1334" s="595"/>
      <c r="H1334" s="595"/>
      <c r="I1334" s="595"/>
      <c r="J1334" s="595"/>
      <c r="K1334" s="595"/>
      <c r="L1334" s="595"/>
      <c r="M1334" s="595"/>
      <c r="N1334" s="386"/>
      <c r="O1334" s="386"/>
      <c r="AD1334" s="230"/>
      <c r="AE1334" s="230"/>
      <c r="AF1334" s="140"/>
      <c r="AG1334" s="595"/>
      <c r="AH1334" s="595"/>
      <c r="AI1334" s="595"/>
      <c r="AJ1334" s="595"/>
      <c r="AK1334" s="595"/>
      <c r="AL1334" s="595"/>
      <c r="AM1334" s="595"/>
      <c r="AN1334" s="386"/>
      <c r="AO1334" s="386"/>
    </row>
    <row r="1335" spans="4:41" x14ac:dyDescent="0.3">
      <c r="D1335" s="230"/>
      <c r="E1335" s="230"/>
      <c r="F1335" s="140"/>
      <c r="G1335" s="387"/>
      <c r="H1335" s="387"/>
      <c r="I1335" s="387"/>
      <c r="J1335" s="387"/>
      <c r="K1335" s="387"/>
      <c r="L1335" s="387"/>
      <c r="M1335" s="387"/>
      <c r="N1335" s="386"/>
      <c r="O1335" s="386"/>
      <c r="AD1335" s="230"/>
      <c r="AE1335" s="230"/>
      <c r="AF1335" s="140"/>
      <c r="AG1335" s="387"/>
      <c r="AH1335" s="387"/>
      <c r="AI1335" s="387"/>
      <c r="AJ1335" s="387"/>
      <c r="AK1335" s="387"/>
      <c r="AL1335" s="387"/>
      <c r="AM1335" s="387"/>
      <c r="AN1335" s="386"/>
      <c r="AO1335" s="386"/>
    </row>
    <row r="1336" spans="4:41" x14ac:dyDescent="0.3">
      <c r="D1336" s="230"/>
      <c r="E1336" s="230"/>
      <c r="F1336" s="140"/>
      <c r="G1336" s="595"/>
      <c r="H1336" s="595"/>
      <c r="I1336" s="595"/>
      <c r="J1336" s="595"/>
      <c r="K1336" s="595"/>
      <c r="L1336" s="595"/>
      <c r="M1336" s="595"/>
      <c r="N1336" s="386"/>
      <c r="O1336" s="386"/>
      <c r="AD1336" s="230"/>
      <c r="AE1336" s="230"/>
      <c r="AF1336" s="140"/>
      <c r="AG1336" s="595"/>
      <c r="AH1336" s="595"/>
      <c r="AI1336" s="595"/>
      <c r="AJ1336" s="595"/>
      <c r="AK1336" s="595"/>
      <c r="AL1336" s="595"/>
      <c r="AM1336" s="595"/>
      <c r="AN1336" s="386"/>
      <c r="AO1336" s="386"/>
    </row>
    <row r="1338" spans="4:41" x14ac:dyDescent="0.3">
      <c r="D1338" s="571"/>
      <c r="E1338" s="571"/>
      <c r="F1338" s="571"/>
      <c r="G1338" s="571"/>
      <c r="H1338" s="571"/>
      <c r="I1338" s="571"/>
      <c r="J1338" s="571"/>
      <c r="K1338" s="571"/>
      <c r="L1338" s="571"/>
      <c r="M1338" s="571"/>
      <c r="N1338" s="571"/>
      <c r="O1338" s="2"/>
      <c r="AD1338" s="571"/>
      <c r="AE1338" s="571"/>
      <c r="AF1338" s="571"/>
      <c r="AG1338" s="571"/>
      <c r="AH1338" s="571"/>
      <c r="AI1338" s="571"/>
      <c r="AJ1338" s="571"/>
      <c r="AK1338" s="571"/>
      <c r="AL1338" s="571"/>
      <c r="AM1338" s="571"/>
      <c r="AN1338" s="571"/>
      <c r="AO1338" s="2"/>
    </row>
    <row r="1339" spans="4:41" x14ac:dyDescent="0.3">
      <c r="E1339" s="9"/>
      <c r="F1339" s="86"/>
      <c r="G1339" s="9"/>
      <c r="H1339" s="9"/>
      <c r="I1339" s="9"/>
      <c r="J1339" s="168"/>
      <c r="K1339" s="385"/>
      <c r="AE1339" s="9"/>
      <c r="AF1339" s="86"/>
      <c r="AG1339" s="9"/>
      <c r="AH1339" s="9"/>
      <c r="AI1339" s="9"/>
      <c r="AJ1339" s="168"/>
      <c r="AK1339" s="385"/>
    </row>
    <row r="1340" spans="4:41" x14ac:dyDescent="0.3">
      <c r="D1340" s="594"/>
      <c r="E1340" s="594"/>
      <c r="F1340" s="383"/>
      <c r="G1340" s="86"/>
      <c r="H1340" s="201"/>
      <c r="I1340" s="201"/>
      <c r="J1340" s="168"/>
      <c r="K1340" s="385"/>
      <c r="AD1340" s="594"/>
      <c r="AE1340" s="594"/>
      <c r="AF1340" s="383"/>
      <c r="AG1340" s="86"/>
      <c r="AH1340" s="201"/>
      <c r="AI1340" s="201"/>
      <c r="AJ1340" s="168"/>
      <c r="AK1340" s="385"/>
    </row>
    <row r="1341" spans="4:41" x14ac:dyDescent="0.3">
      <c r="D1341" s="230"/>
      <c r="E1341" s="230"/>
      <c r="F1341" s="9"/>
      <c r="G1341" s="9"/>
      <c r="H1341" s="9"/>
      <c r="I1341" s="9"/>
      <c r="J1341" s="9"/>
      <c r="K1341" s="9"/>
      <c r="L1341" s="9"/>
      <c r="M1341" s="9"/>
      <c r="N1341" s="9"/>
      <c r="O1341" s="9"/>
      <c r="AD1341" s="230"/>
      <c r="AE1341" s="230"/>
      <c r="AF1341" s="9"/>
      <c r="AG1341" s="9"/>
      <c r="AH1341" s="9"/>
      <c r="AI1341" s="9"/>
      <c r="AJ1341" s="9"/>
      <c r="AK1341" s="9"/>
      <c r="AL1341" s="9"/>
      <c r="AM1341" s="9"/>
      <c r="AN1341" s="9"/>
      <c r="AO1341" s="9"/>
    </row>
    <row r="1342" spans="4:41" x14ac:dyDescent="0.3">
      <c r="D1342" s="230"/>
      <c r="E1342" s="230"/>
      <c r="F1342" s="140"/>
      <c r="G1342" s="595"/>
      <c r="H1342" s="595"/>
      <c r="I1342" s="595"/>
      <c r="J1342" s="595"/>
      <c r="K1342" s="595"/>
      <c r="L1342" s="595"/>
      <c r="M1342" s="595"/>
      <c r="N1342" s="386"/>
      <c r="O1342" s="386"/>
      <c r="AD1342" s="230"/>
      <c r="AE1342" s="230"/>
      <c r="AF1342" s="140"/>
      <c r="AG1342" s="595"/>
      <c r="AH1342" s="595"/>
      <c r="AI1342" s="595"/>
      <c r="AJ1342" s="595"/>
      <c r="AK1342" s="595"/>
      <c r="AL1342" s="595"/>
      <c r="AM1342" s="595"/>
      <c r="AN1342" s="386"/>
      <c r="AO1342" s="386"/>
    </row>
    <row r="1343" spans="4:41" x14ac:dyDescent="0.3">
      <c r="D1343" s="230"/>
      <c r="E1343" s="230"/>
      <c r="F1343" s="140"/>
      <c r="G1343" s="387"/>
      <c r="H1343" s="387"/>
      <c r="I1343" s="387"/>
      <c r="J1343" s="387"/>
      <c r="K1343" s="387"/>
      <c r="L1343" s="387"/>
      <c r="M1343" s="387"/>
      <c r="N1343" s="386"/>
      <c r="O1343" s="386"/>
      <c r="AD1343" s="230"/>
      <c r="AE1343" s="230"/>
      <c r="AF1343" s="140"/>
      <c r="AG1343" s="387"/>
      <c r="AH1343" s="387"/>
      <c r="AI1343" s="387"/>
      <c r="AJ1343" s="387"/>
      <c r="AK1343" s="387"/>
      <c r="AL1343" s="387"/>
      <c r="AM1343" s="387"/>
      <c r="AN1343" s="386"/>
      <c r="AO1343" s="386"/>
    </row>
    <row r="1344" spans="4:41" x14ac:dyDescent="0.3">
      <c r="D1344" s="230"/>
      <c r="E1344" s="230"/>
      <c r="F1344" s="140"/>
      <c r="G1344" s="387"/>
      <c r="H1344" s="387"/>
      <c r="I1344" s="387"/>
      <c r="J1344" s="387"/>
      <c r="K1344" s="387"/>
      <c r="L1344" s="387"/>
      <c r="M1344" s="387"/>
      <c r="N1344" s="386"/>
      <c r="O1344" s="386"/>
      <c r="AD1344" s="230"/>
      <c r="AE1344" s="230"/>
      <c r="AF1344" s="140"/>
      <c r="AG1344" s="387"/>
      <c r="AH1344" s="387"/>
      <c r="AI1344" s="387"/>
      <c r="AJ1344" s="387"/>
      <c r="AK1344" s="387"/>
      <c r="AL1344" s="387"/>
      <c r="AM1344" s="387"/>
      <c r="AN1344" s="386"/>
      <c r="AO1344" s="386"/>
    </row>
    <row r="1345" spans="4:41" x14ac:dyDescent="0.3">
      <c r="D1345" s="230"/>
      <c r="E1345" s="230"/>
      <c r="F1345" s="140"/>
      <c r="G1345" s="387"/>
      <c r="H1345" s="387"/>
      <c r="I1345" s="387"/>
      <c r="J1345" s="387"/>
      <c r="K1345" s="387"/>
      <c r="L1345" s="387"/>
      <c r="M1345" s="387"/>
      <c r="N1345" s="386"/>
      <c r="O1345" s="386"/>
      <c r="AD1345" s="230"/>
      <c r="AE1345" s="230"/>
      <c r="AF1345" s="140"/>
      <c r="AG1345" s="387"/>
      <c r="AH1345" s="387"/>
      <c r="AI1345" s="387"/>
      <c r="AJ1345" s="387"/>
      <c r="AK1345" s="387"/>
      <c r="AL1345" s="387"/>
      <c r="AM1345" s="387"/>
      <c r="AN1345" s="386"/>
      <c r="AO1345" s="386"/>
    </row>
    <row r="1346" spans="4:41" x14ac:dyDescent="0.3">
      <c r="D1346" s="230"/>
      <c r="E1346" s="230"/>
      <c r="F1346" s="140"/>
      <c r="G1346" s="595"/>
      <c r="H1346" s="595"/>
      <c r="I1346" s="595"/>
      <c r="J1346" s="595"/>
      <c r="K1346" s="595"/>
      <c r="L1346" s="595"/>
      <c r="M1346" s="595"/>
      <c r="N1346" s="386"/>
      <c r="O1346" s="386"/>
      <c r="AD1346" s="230"/>
      <c r="AE1346" s="230"/>
      <c r="AF1346" s="140"/>
      <c r="AG1346" s="595"/>
      <c r="AH1346" s="595"/>
      <c r="AI1346" s="595"/>
      <c r="AJ1346" s="595"/>
      <c r="AK1346" s="595"/>
      <c r="AL1346" s="595"/>
      <c r="AM1346" s="595"/>
      <c r="AN1346" s="386"/>
      <c r="AO1346" s="386"/>
    </row>
    <row r="1347" spans="4:41" x14ac:dyDescent="0.3">
      <c r="D1347" s="230"/>
      <c r="E1347" s="230"/>
      <c r="F1347" s="140"/>
      <c r="G1347" s="387"/>
      <c r="H1347" s="387"/>
      <c r="I1347" s="387"/>
      <c r="J1347" s="387"/>
      <c r="K1347" s="387"/>
      <c r="L1347" s="387"/>
      <c r="M1347" s="387"/>
      <c r="N1347" s="386"/>
      <c r="O1347" s="386"/>
      <c r="AD1347" s="230"/>
      <c r="AE1347" s="230"/>
      <c r="AF1347" s="140"/>
      <c r="AG1347" s="387"/>
      <c r="AH1347" s="387"/>
      <c r="AI1347" s="387"/>
      <c r="AJ1347" s="387"/>
      <c r="AK1347" s="387"/>
      <c r="AL1347" s="387"/>
      <c r="AM1347" s="387"/>
      <c r="AN1347" s="386"/>
      <c r="AO1347" s="386"/>
    </row>
    <row r="1348" spans="4:41" x14ac:dyDescent="0.3">
      <c r="D1348" s="230"/>
      <c r="E1348" s="230"/>
      <c r="F1348" s="140"/>
      <c r="G1348" s="595"/>
      <c r="H1348" s="595"/>
      <c r="I1348" s="595"/>
      <c r="J1348" s="595"/>
      <c r="K1348" s="595"/>
      <c r="L1348" s="595"/>
      <c r="M1348" s="595"/>
      <c r="N1348" s="386"/>
      <c r="O1348" s="386"/>
      <c r="AD1348" s="230"/>
      <c r="AE1348" s="230"/>
      <c r="AF1348" s="140"/>
      <c r="AG1348" s="595"/>
      <c r="AH1348" s="595"/>
      <c r="AI1348" s="595"/>
      <c r="AJ1348" s="595"/>
      <c r="AK1348" s="595"/>
      <c r="AL1348" s="595"/>
      <c r="AM1348" s="595"/>
      <c r="AN1348" s="386"/>
      <c r="AO1348" s="386"/>
    </row>
  </sheetData>
  <sheetProtection algorithmName="SHA-512" hashValue="49B24dIk/9HWdQ9XqGblQAptqdep5WhzVmVaff4iGac79x3vvka530F/db1MwpI+xGBhJTbaOkosXWS9n0xhFw==" saltValue="cmPTm8/XqjAY9vOdvysAHw==" spinCount="100000" sheet="1" selectLockedCells="1"/>
  <mergeCells count="4810">
    <mergeCell ref="G39:N41"/>
    <mergeCell ref="AG39:AN41"/>
    <mergeCell ref="G38:N38"/>
    <mergeCell ref="AG844:AI844"/>
    <mergeCell ref="AY32:AY38"/>
    <mergeCell ref="AD800:AE800"/>
    <mergeCell ref="AG802:AI802"/>
    <mergeCell ref="AG803:AI803"/>
    <mergeCell ref="AG804:AI804"/>
    <mergeCell ref="AG818:AI818"/>
    <mergeCell ref="AG819:AI819"/>
    <mergeCell ref="AG820:AI820"/>
    <mergeCell ref="AG747:AI747"/>
    <mergeCell ref="AG748:AI748"/>
    <mergeCell ref="AD750:AN750"/>
    <mergeCell ref="AD752:AE752"/>
    <mergeCell ref="G18:J18"/>
    <mergeCell ref="G19:H19"/>
    <mergeCell ref="I19:J19"/>
    <mergeCell ref="G20:H20"/>
    <mergeCell ref="I20:J20"/>
    <mergeCell ref="G21:H21"/>
    <mergeCell ref="I21:J21"/>
    <mergeCell ref="G22:H22"/>
    <mergeCell ref="I22:J22"/>
    <mergeCell ref="G23:H23"/>
    <mergeCell ref="I23:J23"/>
    <mergeCell ref="D25:N25"/>
    <mergeCell ref="D27:N27"/>
    <mergeCell ref="G34:N34"/>
    <mergeCell ref="G35:N35"/>
    <mergeCell ref="G36:N36"/>
    <mergeCell ref="G37:N37"/>
    <mergeCell ref="AG662:AI662"/>
    <mergeCell ref="AG637:AI637"/>
    <mergeCell ref="AJ637:AL637"/>
    <mergeCell ref="AG638:AI638"/>
    <mergeCell ref="AJ638:AL638"/>
    <mergeCell ref="AG639:AI639"/>
    <mergeCell ref="AJ639:AL639"/>
    <mergeCell ref="AG640:AI640"/>
    <mergeCell ref="AJ640:AL640"/>
    <mergeCell ref="AD642:AN642"/>
    <mergeCell ref="AD654:AN654"/>
    <mergeCell ref="AD644:AE644"/>
    <mergeCell ref="AG646:AI646"/>
    <mergeCell ref="AJ646:AL646"/>
    <mergeCell ref="AG647:AI647"/>
    <mergeCell ref="AJ647:AL647"/>
    <mergeCell ref="AG648:AI648"/>
    <mergeCell ref="AJ648:AL648"/>
    <mergeCell ref="AG649:AI649"/>
    <mergeCell ref="AJ649:AL649"/>
    <mergeCell ref="AJ650:AL650"/>
    <mergeCell ref="AJ651:AL651"/>
    <mergeCell ref="AJ652:AL652"/>
    <mergeCell ref="AG611:AI611"/>
    <mergeCell ref="AG612:AI612"/>
    <mergeCell ref="AG604:AI604"/>
    <mergeCell ref="AG599:AI599"/>
    <mergeCell ref="AJ599:AL599"/>
    <mergeCell ref="AG600:AI600"/>
    <mergeCell ref="AJ600:AL600"/>
    <mergeCell ref="AG601:AI601"/>
    <mergeCell ref="AG528:AI528"/>
    <mergeCell ref="AJ528:AL528"/>
    <mergeCell ref="AG529:AI529"/>
    <mergeCell ref="AJ529:AL529"/>
    <mergeCell ref="AJ601:AL601"/>
    <mergeCell ref="AJ602:AL602"/>
    <mergeCell ref="AJ603:AL603"/>
    <mergeCell ref="AJ604:AL604"/>
    <mergeCell ref="AJ610:AL610"/>
    <mergeCell ref="AJ611:AL611"/>
    <mergeCell ref="AJ612:AL612"/>
    <mergeCell ref="AG613:AI613"/>
    <mergeCell ref="AJ613:AL613"/>
    <mergeCell ref="AG602:AI602"/>
    <mergeCell ref="AG603:AI603"/>
    <mergeCell ref="AD596:AE596"/>
    <mergeCell ref="AG598:AI598"/>
    <mergeCell ref="AJ598:AL598"/>
    <mergeCell ref="AD606:AN606"/>
    <mergeCell ref="AD608:AE608"/>
    <mergeCell ref="AG610:AI610"/>
    <mergeCell ref="AJ530:AL530"/>
    <mergeCell ref="AJ531:AL531"/>
    <mergeCell ref="AJ532:AL532"/>
    <mergeCell ref="AJ538:AL538"/>
    <mergeCell ref="AJ539:AL539"/>
    <mergeCell ref="AJ540:AL540"/>
    <mergeCell ref="AG541:AI541"/>
    <mergeCell ref="AJ541:AL541"/>
    <mergeCell ref="AG532:AI532"/>
    <mergeCell ref="AD534:AN534"/>
    <mergeCell ref="AD536:AE536"/>
    <mergeCell ref="AG478:AI478"/>
    <mergeCell ref="AJ478:AL478"/>
    <mergeCell ref="AG479:AI479"/>
    <mergeCell ref="AJ479:AL479"/>
    <mergeCell ref="AG480:AI480"/>
    <mergeCell ref="AJ480:AL480"/>
    <mergeCell ref="AG481:AI481"/>
    <mergeCell ref="AJ481:AL481"/>
    <mergeCell ref="AJ482:AL482"/>
    <mergeCell ref="AJ483:AL483"/>
    <mergeCell ref="AD500:AE500"/>
    <mergeCell ref="AG508:AI508"/>
    <mergeCell ref="AD510:AN510"/>
    <mergeCell ref="AD512:AE512"/>
    <mergeCell ref="AG530:AI530"/>
    <mergeCell ref="AG531:AI531"/>
    <mergeCell ref="AG514:AI514"/>
    <mergeCell ref="AG515:AI515"/>
    <mergeCell ref="AG516:AI516"/>
    <mergeCell ref="AG506:AI506"/>
    <mergeCell ref="AG507:AI507"/>
    <mergeCell ref="AG502:AI502"/>
    <mergeCell ref="AJ502:AL502"/>
    <mergeCell ref="AG503:AI503"/>
    <mergeCell ref="AJ503:AL503"/>
    <mergeCell ref="AJ520:AL520"/>
    <mergeCell ref="AD522:AN522"/>
    <mergeCell ref="AD524:AE524"/>
    <mergeCell ref="AG526:AI526"/>
    <mergeCell ref="AJ526:AL526"/>
    <mergeCell ref="AG527:AI527"/>
    <mergeCell ref="AJ527:AL527"/>
    <mergeCell ref="AJ406:AL406"/>
    <mergeCell ref="AG407:AI407"/>
    <mergeCell ref="AJ407:AL407"/>
    <mergeCell ref="AG408:AI408"/>
    <mergeCell ref="AJ408:AL408"/>
    <mergeCell ref="AG409:AI409"/>
    <mergeCell ref="AJ409:AL409"/>
    <mergeCell ref="AJ410:AL410"/>
    <mergeCell ref="AJ411:AL411"/>
    <mergeCell ref="AG410:AI410"/>
    <mergeCell ref="AG411:AI411"/>
    <mergeCell ref="AG575:AI575"/>
    <mergeCell ref="AJ575:AL575"/>
    <mergeCell ref="AG519:AI519"/>
    <mergeCell ref="AJ519:AL519"/>
    <mergeCell ref="AG520:AI520"/>
    <mergeCell ref="AG471:AI471"/>
    <mergeCell ref="AJ471:AL471"/>
    <mergeCell ref="AG472:AI472"/>
    <mergeCell ref="AJ472:AL472"/>
    <mergeCell ref="AD474:AN474"/>
    <mergeCell ref="AD476:AE476"/>
    <mergeCell ref="AG483:AI483"/>
    <mergeCell ref="AD486:AN486"/>
    <mergeCell ref="AD488:AE488"/>
    <mergeCell ref="AG490:AI490"/>
    <mergeCell ref="AG491:AI491"/>
    <mergeCell ref="AG492:AI492"/>
    <mergeCell ref="AG495:AI495"/>
    <mergeCell ref="AJ495:AL495"/>
    <mergeCell ref="AG496:AI496"/>
    <mergeCell ref="AJ496:AL496"/>
    <mergeCell ref="AJ359:AL359"/>
    <mergeCell ref="AG360:AI360"/>
    <mergeCell ref="AJ360:AL360"/>
    <mergeCell ref="AG361:AI361"/>
    <mergeCell ref="AJ361:AL361"/>
    <mergeCell ref="AG376:AI376"/>
    <mergeCell ref="AJ376:AL376"/>
    <mergeCell ref="AD378:AN378"/>
    <mergeCell ref="AD380:AE380"/>
    <mergeCell ref="AG382:AI382"/>
    <mergeCell ref="AJ382:AL382"/>
    <mergeCell ref="AJ484:AL484"/>
    <mergeCell ref="AJ490:AL490"/>
    <mergeCell ref="AJ491:AL491"/>
    <mergeCell ref="AJ492:AL492"/>
    <mergeCell ref="AG493:AI493"/>
    <mergeCell ref="AG434:AI434"/>
    <mergeCell ref="AG436:AI436"/>
    <mergeCell ref="AG435:AI435"/>
    <mergeCell ref="AG430:AI430"/>
    <mergeCell ref="AJ430:AL430"/>
    <mergeCell ref="AG431:AI431"/>
    <mergeCell ref="AJ431:AL431"/>
    <mergeCell ref="AG432:AI432"/>
    <mergeCell ref="AJ432:AL432"/>
    <mergeCell ref="AG433:AI433"/>
    <mergeCell ref="AG388:AI388"/>
    <mergeCell ref="AG386:AI386"/>
    <mergeCell ref="AG387:AI387"/>
    <mergeCell ref="AD402:AN402"/>
    <mergeCell ref="AD404:AE404"/>
    <mergeCell ref="AG406:AI406"/>
    <mergeCell ref="AG383:AI383"/>
    <mergeCell ref="AJ383:AL383"/>
    <mergeCell ref="AG301:AI301"/>
    <mergeCell ref="AJ301:AL301"/>
    <mergeCell ref="AG302:AI302"/>
    <mergeCell ref="AJ302:AL302"/>
    <mergeCell ref="AG303:AI303"/>
    <mergeCell ref="AJ303:AL303"/>
    <mergeCell ref="AG304:AI304"/>
    <mergeCell ref="AJ304:AL304"/>
    <mergeCell ref="AD306:AN306"/>
    <mergeCell ref="AD308:AE308"/>
    <mergeCell ref="AG310:AI310"/>
    <mergeCell ref="AJ310:AL310"/>
    <mergeCell ref="AG311:AI311"/>
    <mergeCell ref="AJ311:AL311"/>
    <mergeCell ref="AJ338:AL338"/>
    <mergeCell ref="AJ339:AL339"/>
    <mergeCell ref="AJ340:AL340"/>
    <mergeCell ref="AG312:AI312"/>
    <mergeCell ref="AJ312:AL312"/>
    <mergeCell ref="AG313:AI313"/>
    <mergeCell ref="AJ313:AL313"/>
    <mergeCell ref="AJ314:AL314"/>
    <mergeCell ref="AJ315:AL315"/>
    <mergeCell ref="AJ316:AL316"/>
    <mergeCell ref="AJ322:AL322"/>
    <mergeCell ref="AJ323:AL323"/>
    <mergeCell ref="AJ324:AL324"/>
    <mergeCell ref="AG325:AI325"/>
    <mergeCell ref="AJ325:AL325"/>
    <mergeCell ref="AG326:AI326"/>
    <mergeCell ref="AJ326:AL326"/>
    <mergeCell ref="AG327:AI327"/>
    <mergeCell ref="AJ215:AL215"/>
    <mergeCell ref="AJ230:AL230"/>
    <mergeCell ref="AG231:AI231"/>
    <mergeCell ref="AJ231:AL231"/>
    <mergeCell ref="AG232:AI232"/>
    <mergeCell ref="AJ232:AL232"/>
    <mergeCell ref="AD234:AN234"/>
    <mergeCell ref="AD236:AE236"/>
    <mergeCell ref="AG238:AI238"/>
    <mergeCell ref="AJ238:AL238"/>
    <mergeCell ref="AG239:AI239"/>
    <mergeCell ref="AJ239:AL239"/>
    <mergeCell ref="AG240:AI240"/>
    <mergeCell ref="AG292:AI292"/>
    <mergeCell ref="AD294:AN294"/>
    <mergeCell ref="AD296:AE296"/>
    <mergeCell ref="AG300:AI300"/>
    <mergeCell ref="AG298:AI298"/>
    <mergeCell ref="AG299:AI299"/>
    <mergeCell ref="AJ298:AL298"/>
    <mergeCell ref="AJ299:AL299"/>
    <mergeCell ref="AJ291:AL291"/>
    <mergeCell ref="AJ292:AL292"/>
    <mergeCell ref="AJ300:AL300"/>
    <mergeCell ref="AG218:AI218"/>
    <mergeCell ref="AJ240:AL240"/>
    <mergeCell ref="AG241:AI241"/>
    <mergeCell ref="AJ241:AL241"/>
    <mergeCell ref="AJ242:AL242"/>
    <mergeCell ref="AG220:AI220"/>
    <mergeCell ref="AG120:AI120"/>
    <mergeCell ref="AJ120:AL120"/>
    <mergeCell ref="AG121:AI121"/>
    <mergeCell ref="AJ121:AL121"/>
    <mergeCell ref="AJ122:AL122"/>
    <mergeCell ref="AJ123:AL123"/>
    <mergeCell ref="AG146:AI146"/>
    <mergeCell ref="AG147:AI147"/>
    <mergeCell ref="AG148:AI148"/>
    <mergeCell ref="AG130:AI130"/>
    <mergeCell ref="AG144:AI144"/>
    <mergeCell ref="AJ144:AL144"/>
    <mergeCell ref="AG145:AI145"/>
    <mergeCell ref="AJ145:AL145"/>
    <mergeCell ref="AJ146:AL146"/>
    <mergeCell ref="AJ147:AL147"/>
    <mergeCell ref="AJ148:AL148"/>
    <mergeCell ref="AJ124:AL124"/>
    <mergeCell ref="AJ130:AL130"/>
    <mergeCell ref="AJ131:AL131"/>
    <mergeCell ref="AJ132:AL132"/>
    <mergeCell ref="AG133:AI133"/>
    <mergeCell ref="AJ133:AL133"/>
    <mergeCell ref="AG134:AI134"/>
    <mergeCell ref="AJ134:AL134"/>
    <mergeCell ref="AG135:AI135"/>
    <mergeCell ref="AJ135:AL135"/>
    <mergeCell ref="AG136:AI136"/>
    <mergeCell ref="AJ136:AL136"/>
    <mergeCell ref="AD138:AN138"/>
    <mergeCell ref="AD140:AE140"/>
    <mergeCell ref="AG142:AI142"/>
    <mergeCell ref="G32:N32"/>
    <mergeCell ref="G33:N33"/>
    <mergeCell ref="G844:I844"/>
    <mergeCell ref="G818:I818"/>
    <mergeCell ref="G819:I819"/>
    <mergeCell ref="G820:I820"/>
    <mergeCell ref="D822:N822"/>
    <mergeCell ref="D824:E824"/>
    <mergeCell ref="G794:I794"/>
    <mergeCell ref="D798:N798"/>
    <mergeCell ref="D800:E800"/>
    <mergeCell ref="G802:I802"/>
    <mergeCell ref="AG32:AN32"/>
    <mergeCell ref="AG33:AN33"/>
    <mergeCell ref="AG58:AI58"/>
    <mergeCell ref="AD78:AN78"/>
    <mergeCell ref="AD80:AE80"/>
    <mergeCell ref="AG82:AI82"/>
    <mergeCell ref="AG83:AI83"/>
    <mergeCell ref="AG84:AI84"/>
    <mergeCell ref="AG100:AI100"/>
    <mergeCell ref="AD126:AN126"/>
    <mergeCell ref="AD128:AE128"/>
    <mergeCell ref="AG131:AI131"/>
    <mergeCell ref="AG132:AI132"/>
    <mergeCell ref="AG124:AI124"/>
    <mergeCell ref="AD114:AN114"/>
    <mergeCell ref="AD116:AE116"/>
    <mergeCell ref="AG118:AI118"/>
    <mergeCell ref="AJ118:AL118"/>
    <mergeCell ref="AG119:AI119"/>
    <mergeCell ref="AJ119:AL119"/>
    <mergeCell ref="D582:N582"/>
    <mergeCell ref="D584:E584"/>
    <mergeCell ref="G588:I588"/>
    <mergeCell ref="G710:I710"/>
    <mergeCell ref="G712:I712"/>
    <mergeCell ref="D714:N714"/>
    <mergeCell ref="D716:E716"/>
    <mergeCell ref="J700:L700"/>
    <mergeCell ref="G722:I722"/>
    <mergeCell ref="G723:I723"/>
    <mergeCell ref="G724:I724"/>
    <mergeCell ref="D726:N726"/>
    <mergeCell ref="D728:E728"/>
    <mergeCell ref="J710:L710"/>
    <mergeCell ref="G711:I711"/>
    <mergeCell ref="J711:L711"/>
    <mergeCell ref="J712:L712"/>
    <mergeCell ref="J718:L718"/>
    <mergeCell ref="G719:I719"/>
    <mergeCell ref="J719:L719"/>
    <mergeCell ref="G720:I720"/>
    <mergeCell ref="J720:L720"/>
    <mergeCell ref="G721:I721"/>
    <mergeCell ref="J721:L721"/>
    <mergeCell ref="J722:L722"/>
    <mergeCell ref="G718:I718"/>
    <mergeCell ref="G590:I590"/>
    <mergeCell ref="G592:I592"/>
    <mergeCell ref="G603:I603"/>
    <mergeCell ref="D606:N606"/>
    <mergeCell ref="D608:E608"/>
    <mergeCell ref="G610:I610"/>
    <mergeCell ref="G611:I611"/>
    <mergeCell ref="G586:I586"/>
    <mergeCell ref="G587:I587"/>
    <mergeCell ref="G604:I604"/>
    <mergeCell ref="G612:I612"/>
    <mergeCell ref="J590:L590"/>
    <mergeCell ref="G591:I591"/>
    <mergeCell ref="J591:L591"/>
    <mergeCell ref="J592:L592"/>
    <mergeCell ref="J598:L598"/>
    <mergeCell ref="G599:I599"/>
    <mergeCell ref="J599:L599"/>
    <mergeCell ref="G600:I600"/>
    <mergeCell ref="J600:L600"/>
    <mergeCell ref="G601:I601"/>
    <mergeCell ref="J601:L601"/>
    <mergeCell ref="J602:L602"/>
    <mergeCell ref="J603:L603"/>
    <mergeCell ref="J604:L604"/>
    <mergeCell ref="J610:L610"/>
    <mergeCell ref="D594:N594"/>
    <mergeCell ref="D596:E596"/>
    <mergeCell ref="G602:I602"/>
    <mergeCell ref="G598:I598"/>
    <mergeCell ref="J611:L611"/>
    <mergeCell ref="J612:L612"/>
    <mergeCell ref="G410:I410"/>
    <mergeCell ref="J424:L424"/>
    <mergeCell ref="J578:L578"/>
    <mergeCell ref="J579:L579"/>
    <mergeCell ref="J580:L580"/>
    <mergeCell ref="J586:L586"/>
    <mergeCell ref="J587:L587"/>
    <mergeCell ref="J588:L588"/>
    <mergeCell ref="G589:I589"/>
    <mergeCell ref="J589:L589"/>
    <mergeCell ref="G520:I520"/>
    <mergeCell ref="D522:N522"/>
    <mergeCell ref="D524:E524"/>
    <mergeCell ref="G526:I526"/>
    <mergeCell ref="G542:I542"/>
    <mergeCell ref="D440:E440"/>
    <mergeCell ref="G442:I442"/>
    <mergeCell ref="G443:I443"/>
    <mergeCell ref="G458:I458"/>
    <mergeCell ref="G444:I444"/>
    <mergeCell ref="G482:I482"/>
    <mergeCell ref="G483:I483"/>
    <mergeCell ref="D486:N486"/>
    <mergeCell ref="D488:E488"/>
    <mergeCell ref="G490:I490"/>
    <mergeCell ref="G491:I491"/>
    <mergeCell ref="G492:I492"/>
    <mergeCell ref="J468:L468"/>
    <mergeCell ref="G469:I469"/>
    <mergeCell ref="J469:L469"/>
    <mergeCell ref="J470:L470"/>
    <mergeCell ref="G471:I471"/>
    <mergeCell ref="D332:E332"/>
    <mergeCell ref="G334:I334"/>
    <mergeCell ref="G350:I350"/>
    <mergeCell ref="G352:I352"/>
    <mergeCell ref="G312:I312"/>
    <mergeCell ref="J312:L312"/>
    <mergeCell ref="G313:I313"/>
    <mergeCell ref="J313:L313"/>
    <mergeCell ref="J314:L314"/>
    <mergeCell ref="J315:L315"/>
    <mergeCell ref="J316:L316"/>
    <mergeCell ref="J322:L322"/>
    <mergeCell ref="G323:I323"/>
    <mergeCell ref="J323:L323"/>
    <mergeCell ref="J324:L324"/>
    <mergeCell ref="G325:I325"/>
    <mergeCell ref="J325:L325"/>
    <mergeCell ref="J326:L326"/>
    <mergeCell ref="D342:N342"/>
    <mergeCell ref="D344:E344"/>
    <mergeCell ref="G346:I346"/>
    <mergeCell ref="G347:I347"/>
    <mergeCell ref="G348:I348"/>
    <mergeCell ref="G338:I338"/>
    <mergeCell ref="G349:I349"/>
    <mergeCell ref="J349:L349"/>
    <mergeCell ref="J350:L350"/>
    <mergeCell ref="G327:I327"/>
    <mergeCell ref="J327:L327"/>
    <mergeCell ref="J328:L328"/>
    <mergeCell ref="J334:L334"/>
    <mergeCell ref="G335:I335"/>
    <mergeCell ref="G238:I238"/>
    <mergeCell ref="G254:I254"/>
    <mergeCell ref="G256:I256"/>
    <mergeCell ref="D258:N258"/>
    <mergeCell ref="D260:E260"/>
    <mergeCell ref="G262:I262"/>
    <mergeCell ref="G251:I251"/>
    <mergeCell ref="G326:I326"/>
    <mergeCell ref="G328:I328"/>
    <mergeCell ref="J275:L275"/>
    <mergeCell ref="J276:L276"/>
    <mergeCell ref="G279:I279"/>
    <mergeCell ref="J279:L279"/>
    <mergeCell ref="J262:L262"/>
    <mergeCell ref="G263:I263"/>
    <mergeCell ref="J263:L263"/>
    <mergeCell ref="G264:I264"/>
    <mergeCell ref="J264:L264"/>
    <mergeCell ref="J280:L280"/>
    <mergeCell ref="J286:L286"/>
    <mergeCell ref="G287:I287"/>
    <mergeCell ref="J287:L287"/>
    <mergeCell ref="G288:I288"/>
    <mergeCell ref="J288:L288"/>
    <mergeCell ref="G300:I300"/>
    <mergeCell ref="G265:I265"/>
    <mergeCell ref="J265:L265"/>
    <mergeCell ref="G290:I290"/>
    <mergeCell ref="G291:I291"/>
    <mergeCell ref="G292:I292"/>
    <mergeCell ref="D294:N294"/>
    <mergeCell ref="D296:E296"/>
    <mergeCell ref="G218:I218"/>
    <mergeCell ref="G226:I226"/>
    <mergeCell ref="G206:I206"/>
    <mergeCell ref="G208:I208"/>
    <mergeCell ref="D210:N210"/>
    <mergeCell ref="D212:E212"/>
    <mergeCell ref="G214:I214"/>
    <mergeCell ref="J220:L220"/>
    <mergeCell ref="J226:L226"/>
    <mergeCell ref="J227:L227"/>
    <mergeCell ref="J228:L228"/>
    <mergeCell ref="J206:L206"/>
    <mergeCell ref="G207:I207"/>
    <mergeCell ref="J207:L207"/>
    <mergeCell ref="J208:L208"/>
    <mergeCell ref="J214:L214"/>
    <mergeCell ref="G215:I215"/>
    <mergeCell ref="J215:L215"/>
    <mergeCell ref="G216:I216"/>
    <mergeCell ref="G217:I217"/>
    <mergeCell ref="J217:L217"/>
    <mergeCell ref="J218:L218"/>
    <mergeCell ref="J219:L219"/>
    <mergeCell ref="G220:I220"/>
    <mergeCell ref="D222:N222"/>
    <mergeCell ref="D224:E224"/>
    <mergeCell ref="G227:I227"/>
    <mergeCell ref="G228:I228"/>
    <mergeCell ref="G219:I219"/>
    <mergeCell ref="D128:E128"/>
    <mergeCell ref="G131:I131"/>
    <mergeCell ref="G112:I112"/>
    <mergeCell ref="D114:N114"/>
    <mergeCell ref="D116:E116"/>
    <mergeCell ref="G146:I146"/>
    <mergeCell ref="G147:I147"/>
    <mergeCell ref="G148:I148"/>
    <mergeCell ref="G134:I134"/>
    <mergeCell ref="G136:I136"/>
    <mergeCell ref="D138:N138"/>
    <mergeCell ref="D140:E140"/>
    <mergeCell ref="G142:I142"/>
    <mergeCell ref="J107:L107"/>
    <mergeCell ref="J108:L108"/>
    <mergeCell ref="G109:I109"/>
    <mergeCell ref="J109:L109"/>
    <mergeCell ref="J110:L110"/>
    <mergeCell ref="G111:I111"/>
    <mergeCell ref="J111:L111"/>
    <mergeCell ref="J112:L112"/>
    <mergeCell ref="J118:L118"/>
    <mergeCell ref="G119:I119"/>
    <mergeCell ref="J119:L119"/>
    <mergeCell ref="G120:I120"/>
    <mergeCell ref="J120:L120"/>
    <mergeCell ref="G121:I121"/>
    <mergeCell ref="J121:L121"/>
    <mergeCell ref="J122:L122"/>
    <mergeCell ref="J123:L123"/>
    <mergeCell ref="G118:I118"/>
    <mergeCell ref="J144:L144"/>
    <mergeCell ref="G58:I58"/>
    <mergeCell ref="AG826:AI826"/>
    <mergeCell ref="AG827:AI827"/>
    <mergeCell ref="AG828:AI828"/>
    <mergeCell ref="AG771:AI771"/>
    <mergeCell ref="AG772:AI772"/>
    <mergeCell ref="AD776:AE776"/>
    <mergeCell ref="AG778:AI778"/>
    <mergeCell ref="AG779:AI779"/>
    <mergeCell ref="AG780:AI780"/>
    <mergeCell ref="D78:N78"/>
    <mergeCell ref="D80:E80"/>
    <mergeCell ref="G82:I82"/>
    <mergeCell ref="G83:I83"/>
    <mergeCell ref="G84:I84"/>
    <mergeCell ref="D102:N102"/>
    <mergeCell ref="D104:E104"/>
    <mergeCell ref="G106:I106"/>
    <mergeCell ref="J88:L88"/>
    <mergeCell ref="J94:L94"/>
    <mergeCell ref="G95:I95"/>
    <mergeCell ref="J95:L95"/>
    <mergeCell ref="AG634:AI634"/>
    <mergeCell ref="AG635:AI635"/>
    <mergeCell ref="J106:L106"/>
    <mergeCell ref="G107:I107"/>
    <mergeCell ref="G108:I108"/>
    <mergeCell ref="G122:I122"/>
    <mergeCell ref="G123:I123"/>
    <mergeCell ref="D126:N126"/>
    <mergeCell ref="AG346:AI346"/>
    <mergeCell ref="AG228:AI228"/>
    <mergeCell ref="J676:L676"/>
    <mergeCell ref="AD248:AE248"/>
    <mergeCell ref="AG250:AI250"/>
    <mergeCell ref="AG251:AI251"/>
    <mergeCell ref="AG252:AI252"/>
    <mergeCell ref="AG291:AI291"/>
    <mergeCell ref="AG626:AI626"/>
    <mergeCell ref="AG627:AI627"/>
    <mergeCell ref="AD558:AN558"/>
    <mergeCell ref="AD560:AE560"/>
    <mergeCell ref="D330:N330"/>
    <mergeCell ref="J254:L254"/>
    <mergeCell ref="G255:I255"/>
    <mergeCell ref="J255:L255"/>
    <mergeCell ref="J256:L256"/>
    <mergeCell ref="J266:L266"/>
    <mergeCell ref="J267:L267"/>
    <mergeCell ref="J268:L268"/>
    <mergeCell ref="J274:L274"/>
    <mergeCell ref="AG674:AI674"/>
    <mergeCell ref="AG675:AI675"/>
    <mergeCell ref="AG676:AI676"/>
    <mergeCell ref="AG565:AI565"/>
    <mergeCell ref="AJ565:AL565"/>
    <mergeCell ref="AG566:AI566"/>
    <mergeCell ref="AJ566:AL566"/>
    <mergeCell ref="AG567:AI567"/>
    <mergeCell ref="AJ567:AL567"/>
    <mergeCell ref="AG568:AI568"/>
    <mergeCell ref="G277:I277"/>
    <mergeCell ref="J277:L277"/>
    <mergeCell ref="J278:L278"/>
    <mergeCell ref="AD186:AN186"/>
    <mergeCell ref="AD188:AE188"/>
    <mergeCell ref="AG190:AI190"/>
    <mergeCell ref="AJ190:AL190"/>
    <mergeCell ref="AG196:AI196"/>
    <mergeCell ref="AG219:AI219"/>
    <mergeCell ref="AG226:AI226"/>
    <mergeCell ref="AG179:AI179"/>
    <mergeCell ref="AG290:AI290"/>
    <mergeCell ref="AG266:AI266"/>
    <mergeCell ref="AG267:AI267"/>
    <mergeCell ref="AG268:AI268"/>
    <mergeCell ref="AG244:AI244"/>
    <mergeCell ref="AD246:AN246"/>
    <mergeCell ref="AG184:AI184"/>
    <mergeCell ref="AJ184:AL184"/>
    <mergeCell ref="AJ196:AL196"/>
    <mergeCell ref="AJ202:AL202"/>
    <mergeCell ref="AJ203:AL203"/>
    <mergeCell ref="AJ204:AL204"/>
    <mergeCell ref="AG205:AI205"/>
    <mergeCell ref="AJ205:AL205"/>
    <mergeCell ref="AG206:AI206"/>
    <mergeCell ref="AJ206:AL206"/>
    <mergeCell ref="AG229:AI229"/>
    <mergeCell ref="AJ229:AL229"/>
    <mergeCell ref="AG230:AI230"/>
    <mergeCell ref="AG215:AI215"/>
    <mergeCell ref="AD270:AN270"/>
    <mergeCell ref="AD272:AE272"/>
    <mergeCell ref="AG274:AI274"/>
    <mergeCell ref="AG275:AI275"/>
    <mergeCell ref="D54:N54"/>
    <mergeCell ref="D44:E44"/>
    <mergeCell ref="D56:E56"/>
    <mergeCell ref="AD42:AN42"/>
    <mergeCell ref="AG59:AI59"/>
    <mergeCell ref="AG60:AI60"/>
    <mergeCell ref="G99:I99"/>
    <mergeCell ref="G100:I100"/>
    <mergeCell ref="G156:I156"/>
    <mergeCell ref="G314:I314"/>
    <mergeCell ref="AG122:AI122"/>
    <mergeCell ref="AG123:AI123"/>
    <mergeCell ref="AG46:AI46"/>
    <mergeCell ref="AG99:AI99"/>
    <mergeCell ref="AG50:AI50"/>
    <mergeCell ref="G506:I506"/>
    <mergeCell ref="G507:I507"/>
    <mergeCell ref="AD56:AE56"/>
    <mergeCell ref="AG52:AI52"/>
    <mergeCell ref="AD54:AN54"/>
    <mergeCell ref="AG98:AI98"/>
    <mergeCell ref="AG74:AI74"/>
    <mergeCell ref="AG75:AI75"/>
    <mergeCell ref="AG76:AI76"/>
    <mergeCell ref="AG156:AI156"/>
    <mergeCell ref="AD102:AN102"/>
    <mergeCell ref="AD104:AE104"/>
    <mergeCell ref="AG106:AI106"/>
    <mergeCell ref="AG107:AI107"/>
    <mergeCell ref="AG108:AI108"/>
    <mergeCell ref="AG154:AI154"/>
    <mergeCell ref="AG155:AI155"/>
    <mergeCell ref="D42:N42"/>
    <mergeCell ref="G59:I59"/>
    <mergeCell ref="D200:E200"/>
    <mergeCell ref="G202:I202"/>
    <mergeCell ref="G203:I203"/>
    <mergeCell ref="G315:I315"/>
    <mergeCell ref="D318:N318"/>
    <mergeCell ref="D320:E320"/>
    <mergeCell ref="G322:I322"/>
    <mergeCell ref="AD2:AN2"/>
    <mergeCell ref="D2:N2"/>
    <mergeCell ref="D3:M3"/>
    <mergeCell ref="H6:L6"/>
    <mergeCell ref="H8:I8"/>
    <mergeCell ref="D14:N14"/>
    <mergeCell ref="D15:N15"/>
    <mergeCell ref="AD44:AE44"/>
    <mergeCell ref="AH6:AL6"/>
    <mergeCell ref="AH8:AI8"/>
    <mergeCell ref="G98:I98"/>
    <mergeCell ref="G60:I60"/>
    <mergeCell ref="G75:I75"/>
    <mergeCell ref="G76:I76"/>
    <mergeCell ref="AD14:AN14"/>
    <mergeCell ref="AD15:AN15"/>
    <mergeCell ref="AD16:AN16"/>
    <mergeCell ref="AD29:AN29"/>
    <mergeCell ref="AD3:AM3"/>
    <mergeCell ref="G74:I74"/>
    <mergeCell ref="AB32:AB38"/>
    <mergeCell ref="D16:N16"/>
    <mergeCell ref="D29:N29"/>
    <mergeCell ref="F1:L1"/>
    <mergeCell ref="AG707:AI707"/>
    <mergeCell ref="G706:I706"/>
    <mergeCell ref="G707:I707"/>
    <mergeCell ref="AG706:AI706"/>
    <mergeCell ref="AG636:AI636"/>
    <mergeCell ref="AG484:AI484"/>
    <mergeCell ref="G466:I466"/>
    <mergeCell ref="G467:I467"/>
    <mergeCell ref="G484:I484"/>
    <mergeCell ref="G340:I340"/>
    <mergeCell ref="G435:I435"/>
    <mergeCell ref="G362:I362"/>
    <mergeCell ref="G459:I459"/>
    <mergeCell ref="G460:I460"/>
    <mergeCell ref="D462:N462"/>
    <mergeCell ref="D464:E464"/>
    <mergeCell ref="G468:I468"/>
    <mergeCell ref="G324:I324"/>
    <mergeCell ref="G316:I316"/>
    <mergeCell ref="G171:I171"/>
    <mergeCell ref="G172:I172"/>
    <mergeCell ref="D174:N174"/>
    <mergeCell ref="D176:E176"/>
    <mergeCell ref="G180:I180"/>
    <mergeCell ref="G194:I194"/>
    <mergeCell ref="G52:I52"/>
    <mergeCell ref="G266:I266"/>
    <mergeCell ref="AD17:AN17"/>
    <mergeCell ref="D17:N17"/>
    <mergeCell ref="G46:I46"/>
    <mergeCell ref="G50:I50"/>
    <mergeCell ref="G62:I62"/>
    <mergeCell ref="G64:I64"/>
    <mergeCell ref="D66:N66"/>
    <mergeCell ref="D68:E68"/>
    <mergeCell ref="G70:I70"/>
    <mergeCell ref="G86:I86"/>
    <mergeCell ref="G88:I88"/>
    <mergeCell ref="D90:N90"/>
    <mergeCell ref="D92:E92"/>
    <mergeCell ref="G94:I94"/>
    <mergeCell ref="G110:I110"/>
    <mergeCell ref="J72:L72"/>
    <mergeCell ref="G73:I73"/>
    <mergeCell ref="J73:L73"/>
    <mergeCell ref="J74:L74"/>
    <mergeCell ref="J75:L75"/>
    <mergeCell ref="J76:L76"/>
    <mergeCell ref="J82:L82"/>
    <mergeCell ref="J83:L83"/>
    <mergeCell ref="J84:L84"/>
    <mergeCell ref="G85:I85"/>
    <mergeCell ref="J85:L85"/>
    <mergeCell ref="J86:L86"/>
    <mergeCell ref="G87:I87"/>
    <mergeCell ref="J87:L87"/>
    <mergeCell ref="G96:I96"/>
    <mergeCell ref="J96:L96"/>
    <mergeCell ref="G97:I97"/>
    <mergeCell ref="J97:L97"/>
    <mergeCell ref="J98:L98"/>
    <mergeCell ref="J99:L99"/>
    <mergeCell ref="J100:L100"/>
    <mergeCell ref="G154:I154"/>
    <mergeCell ref="G155:I155"/>
    <mergeCell ref="G157:I157"/>
    <mergeCell ref="J157:L157"/>
    <mergeCell ref="J158:L158"/>
    <mergeCell ref="G159:I159"/>
    <mergeCell ref="J159:L159"/>
    <mergeCell ref="J160:L160"/>
    <mergeCell ref="J166:L166"/>
    <mergeCell ref="G132:I132"/>
    <mergeCell ref="G130:I130"/>
    <mergeCell ref="G145:I145"/>
    <mergeCell ref="J145:L145"/>
    <mergeCell ref="J146:L146"/>
    <mergeCell ref="J147:L147"/>
    <mergeCell ref="J148:L148"/>
    <mergeCell ref="J154:L154"/>
    <mergeCell ref="J155:L155"/>
    <mergeCell ref="J156:L156"/>
    <mergeCell ref="D282:N282"/>
    <mergeCell ref="G289:I289"/>
    <mergeCell ref="J289:L289"/>
    <mergeCell ref="J290:L290"/>
    <mergeCell ref="J291:L291"/>
    <mergeCell ref="J292:L292"/>
    <mergeCell ref="D284:E284"/>
    <mergeCell ref="G286:I286"/>
    <mergeCell ref="D270:N270"/>
    <mergeCell ref="D272:E272"/>
    <mergeCell ref="G274:I274"/>
    <mergeCell ref="G275:I275"/>
    <mergeCell ref="G267:I267"/>
    <mergeCell ref="G268:I268"/>
    <mergeCell ref="G276:I276"/>
    <mergeCell ref="G278:I278"/>
    <mergeCell ref="G280:I280"/>
    <mergeCell ref="J493:L493"/>
    <mergeCell ref="J494:L494"/>
    <mergeCell ref="G495:I495"/>
    <mergeCell ref="J495:L495"/>
    <mergeCell ref="J496:L496"/>
    <mergeCell ref="G351:I351"/>
    <mergeCell ref="J351:L351"/>
    <mergeCell ref="J352:L352"/>
    <mergeCell ref="J358:L358"/>
    <mergeCell ref="G359:I359"/>
    <mergeCell ref="J359:L359"/>
    <mergeCell ref="D354:N354"/>
    <mergeCell ref="D356:E356"/>
    <mergeCell ref="G360:I360"/>
    <mergeCell ref="J360:L360"/>
    <mergeCell ref="G361:I361"/>
    <mergeCell ref="J361:L361"/>
    <mergeCell ref="J362:L362"/>
    <mergeCell ref="J363:L363"/>
    <mergeCell ref="J364:L364"/>
    <mergeCell ref="D452:E452"/>
    <mergeCell ref="G454:I454"/>
    <mergeCell ref="G470:I470"/>
    <mergeCell ref="G472:I472"/>
    <mergeCell ref="D474:N474"/>
    <mergeCell ref="D476:E476"/>
    <mergeCell ref="J396:L396"/>
    <mergeCell ref="G397:I397"/>
    <mergeCell ref="J397:L397"/>
    <mergeCell ref="J398:L398"/>
    <mergeCell ref="G399:I399"/>
    <mergeCell ref="J399:L399"/>
    <mergeCell ref="J420:L420"/>
    <mergeCell ref="G421:I421"/>
    <mergeCell ref="J421:L421"/>
    <mergeCell ref="J430:L430"/>
    <mergeCell ref="G431:I431"/>
    <mergeCell ref="J335:L335"/>
    <mergeCell ref="G336:I336"/>
    <mergeCell ref="J336:L336"/>
    <mergeCell ref="G337:I337"/>
    <mergeCell ref="J337:L337"/>
    <mergeCell ref="J338:L338"/>
    <mergeCell ref="G339:I339"/>
    <mergeCell ref="J339:L339"/>
    <mergeCell ref="J340:L340"/>
    <mergeCell ref="J346:L346"/>
    <mergeCell ref="J347:L347"/>
    <mergeCell ref="J348:L348"/>
    <mergeCell ref="J400:L400"/>
    <mergeCell ref="J406:L406"/>
    <mergeCell ref="G412:I412"/>
    <mergeCell ref="D414:N414"/>
    <mergeCell ref="D416:E416"/>
    <mergeCell ref="G418:I418"/>
    <mergeCell ref="G419:I419"/>
    <mergeCell ref="G420:I420"/>
    <mergeCell ref="G409:I409"/>
    <mergeCell ref="J409:L409"/>
    <mergeCell ref="J410:L410"/>
    <mergeCell ref="G411:I411"/>
    <mergeCell ref="J422:L422"/>
    <mergeCell ref="G423:I423"/>
    <mergeCell ref="J423:L423"/>
    <mergeCell ref="G376:I376"/>
    <mergeCell ref="D378:N378"/>
    <mergeCell ref="D380:E380"/>
    <mergeCell ref="G382:I382"/>
    <mergeCell ref="G398:I398"/>
    <mergeCell ref="G400:I400"/>
    <mergeCell ref="D402:N402"/>
    <mergeCell ref="D404:E404"/>
    <mergeCell ref="G406:I406"/>
    <mergeCell ref="J374:L374"/>
    <mergeCell ref="G375:I375"/>
    <mergeCell ref="J375:L375"/>
    <mergeCell ref="J376:L376"/>
    <mergeCell ref="J382:L382"/>
    <mergeCell ref="G383:I383"/>
    <mergeCell ref="J383:L383"/>
    <mergeCell ref="G384:I384"/>
    <mergeCell ref="J384:L384"/>
    <mergeCell ref="G385:I385"/>
    <mergeCell ref="J385:L385"/>
    <mergeCell ref="J386:L386"/>
    <mergeCell ref="J394:L394"/>
    <mergeCell ref="J395:L395"/>
    <mergeCell ref="J574:L574"/>
    <mergeCell ref="J519:L519"/>
    <mergeCell ref="J520:L520"/>
    <mergeCell ref="J526:L526"/>
    <mergeCell ref="G527:I527"/>
    <mergeCell ref="J527:L527"/>
    <mergeCell ref="G528:I528"/>
    <mergeCell ref="G543:I543"/>
    <mergeCell ref="J467:L467"/>
    <mergeCell ref="G518:I518"/>
    <mergeCell ref="G504:I504"/>
    <mergeCell ref="J504:L504"/>
    <mergeCell ref="G505:I505"/>
    <mergeCell ref="J505:L505"/>
    <mergeCell ref="J506:L506"/>
    <mergeCell ref="J507:L507"/>
    <mergeCell ref="J508:L508"/>
    <mergeCell ref="J514:L514"/>
    <mergeCell ref="J515:L515"/>
    <mergeCell ref="J516:L516"/>
    <mergeCell ref="G517:I517"/>
    <mergeCell ref="J517:L517"/>
    <mergeCell ref="J518:L518"/>
    <mergeCell ref="G514:I514"/>
    <mergeCell ref="G508:I508"/>
    <mergeCell ref="G515:I515"/>
    <mergeCell ref="G516:I516"/>
    <mergeCell ref="D510:N510"/>
    <mergeCell ref="J490:L490"/>
    <mergeCell ref="J491:L491"/>
    <mergeCell ref="J492:L492"/>
    <mergeCell ref="G493:I493"/>
    <mergeCell ref="G662:I662"/>
    <mergeCell ref="G664:I664"/>
    <mergeCell ref="D666:N666"/>
    <mergeCell ref="D668:E668"/>
    <mergeCell ref="G670:I670"/>
    <mergeCell ref="G686:I686"/>
    <mergeCell ref="G688:I688"/>
    <mergeCell ref="J660:L660"/>
    <mergeCell ref="G661:I661"/>
    <mergeCell ref="J661:L661"/>
    <mergeCell ref="J662:L662"/>
    <mergeCell ref="G663:I663"/>
    <mergeCell ref="J663:L663"/>
    <mergeCell ref="J664:L664"/>
    <mergeCell ref="J670:L670"/>
    <mergeCell ref="G671:I671"/>
    <mergeCell ref="J671:L671"/>
    <mergeCell ref="G672:I672"/>
    <mergeCell ref="J672:L672"/>
    <mergeCell ref="G673:I673"/>
    <mergeCell ref="J673:L673"/>
    <mergeCell ref="G660:I660"/>
    <mergeCell ref="G684:I684"/>
    <mergeCell ref="G675:I675"/>
    <mergeCell ref="J674:L674"/>
    <mergeCell ref="G674:I674"/>
    <mergeCell ref="D678:N678"/>
    <mergeCell ref="D680:E680"/>
    <mergeCell ref="G682:I682"/>
    <mergeCell ref="G683:I683"/>
    <mergeCell ref="G676:I676"/>
    <mergeCell ref="J675:L675"/>
    <mergeCell ref="J682:L682"/>
    <mergeCell ref="G734:I734"/>
    <mergeCell ref="G736:I736"/>
    <mergeCell ref="D738:N738"/>
    <mergeCell ref="D740:E740"/>
    <mergeCell ref="G742:I742"/>
    <mergeCell ref="G758:I758"/>
    <mergeCell ref="G760:I760"/>
    <mergeCell ref="D762:N762"/>
    <mergeCell ref="D764:E764"/>
    <mergeCell ref="G766:I766"/>
    <mergeCell ref="J723:L723"/>
    <mergeCell ref="J724:L724"/>
    <mergeCell ref="J730:L730"/>
    <mergeCell ref="G731:I731"/>
    <mergeCell ref="J731:L731"/>
    <mergeCell ref="G732:I732"/>
    <mergeCell ref="J732:L732"/>
    <mergeCell ref="G733:I733"/>
    <mergeCell ref="J733:L733"/>
    <mergeCell ref="J734:L734"/>
    <mergeCell ref="G735:I735"/>
    <mergeCell ref="J735:L735"/>
    <mergeCell ref="J736:L736"/>
    <mergeCell ref="J742:L742"/>
    <mergeCell ref="G730:I730"/>
    <mergeCell ref="J683:L683"/>
    <mergeCell ref="J684:L684"/>
    <mergeCell ref="G685:I685"/>
    <mergeCell ref="J685:L685"/>
    <mergeCell ref="J686:L686"/>
    <mergeCell ref="G687:I687"/>
    <mergeCell ref="G831:I831"/>
    <mergeCell ref="J831:L831"/>
    <mergeCell ref="J832:L832"/>
    <mergeCell ref="J838:L838"/>
    <mergeCell ref="G839:I839"/>
    <mergeCell ref="J839:L839"/>
    <mergeCell ref="G840:I840"/>
    <mergeCell ref="J840:L840"/>
    <mergeCell ref="G783:I783"/>
    <mergeCell ref="J783:L783"/>
    <mergeCell ref="J784:L784"/>
    <mergeCell ref="J790:L790"/>
    <mergeCell ref="G791:I791"/>
    <mergeCell ref="J791:L791"/>
    <mergeCell ref="G792:I792"/>
    <mergeCell ref="J792:L792"/>
    <mergeCell ref="G793:I793"/>
    <mergeCell ref="J793:L793"/>
    <mergeCell ref="J794:L794"/>
    <mergeCell ref="J795:L795"/>
    <mergeCell ref="J796:L796"/>
    <mergeCell ref="J802:L802"/>
    <mergeCell ref="G828:I828"/>
    <mergeCell ref="G826:I826"/>
    <mergeCell ref="G795:I795"/>
    <mergeCell ref="G796:I796"/>
    <mergeCell ref="G803:I803"/>
    <mergeCell ref="G804:I804"/>
    <mergeCell ref="G827:I827"/>
    <mergeCell ref="J803:L803"/>
    <mergeCell ref="J808:L808"/>
    <mergeCell ref="J814:L814"/>
    <mergeCell ref="G784:I784"/>
    <mergeCell ref="D786:N786"/>
    <mergeCell ref="D788:E788"/>
    <mergeCell ref="G790:I790"/>
    <mergeCell ref="G806:I806"/>
    <mergeCell ref="G808:I808"/>
    <mergeCell ref="D810:N810"/>
    <mergeCell ref="D812:E812"/>
    <mergeCell ref="G814:I814"/>
    <mergeCell ref="G830:I830"/>
    <mergeCell ref="J804:L804"/>
    <mergeCell ref="G805:I805"/>
    <mergeCell ref="J805:L805"/>
    <mergeCell ref="J806:L806"/>
    <mergeCell ref="G807:I807"/>
    <mergeCell ref="J807:L807"/>
    <mergeCell ref="J820:L820"/>
    <mergeCell ref="J826:L826"/>
    <mergeCell ref="J827:L827"/>
    <mergeCell ref="J828:L828"/>
    <mergeCell ref="G829:I829"/>
    <mergeCell ref="J829:L829"/>
    <mergeCell ref="J830:L830"/>
    <mergeCell ref="G815:I815"/>
    <mergeCell ref="J815:L815"/>
    <mergeCell ref="G816:I816"/>
    <mergeCell ref="J816:L816"/>
    <mergeCell ref="G817:I817"/>
    <mergeCell ref="J817:L817"/>
    <mergeCell ref="J818:L818"/>
    <mergeCell ref="J819:L819"/>
    <mergeCell ref="G914:I914"/>
    <mergeCell ref="G916:I916"/>
    <mergeCell ref="G912:I912"/>
    <mergeCell ref="J912:L912"/>
    <mergeCell ref="G913:I913"/>
    <mergeCell ref="J913:L913"/>
    <mergeCell ref="J914:L914"/>
    <mergeCell ref="G915:I915"/>
    <mergeCell ref="J915:L915"/>
    <mergeCell ref="J916:L916"/>
    <mergeCell ref="G866:I866"/>
    <mergeCell ref="G868:I868"/>
    <mergeCell ref="D870:N870"/>
    <mergeCell ref="D872:E872"/>
    <mergeCell ref="G874:I874"/>
    <mergeCell ref="G878:I878"/>
    <mergeCell ref="G880:I880"/>
    <mergeCell ref="D882:N882"/>
    <mergeCell ref="D884:E884"/>
    <mergeCell ref="G886:I886"/>
    <mergeCell ref="G890:I890"/>
    <mergeCell ref="J878:L878"/>
    <mergeCell ref="G879:I879"/>
    <mergeCell ref="J879:L879"/>
    <mergeCell ref="J880:L880"/>
    <mergeCell ref="J886:L886"/>
    <mergeCell ref="G887:I887"/>
    <mergeCell ref="J887:L887"/>
    <mergeCell ref="G888:I888"/>
    <mergeCell ref="J888:L888"/>
    <mergeCell ref="G889:I889"/>
    <mergeCell ref="J889:L889"/>
    <mergeCell ref="D918:N918"/>
    <mergeCell ref="D920:E920"/>
    <mergeCell ref="G922:I922"/>
    <mergeCell ref="G926:I926"/>
    <mergeCell ref="G928:I928"/>
    <mergeCell ref="D930:N930"/>
    <mergeCell ref="D932:E932"/>
    <mergeCell ref="G934:I934"/>
    <mergeCell ref="G938:I938"/>
    <mergeCell ref="G940:I940"/>
    <mergeCell ref="D942:N942"/>
    <mergeCell ref="J922:L922"/>
    <mergeCell ref="G923:I923"/>
    <mergeCell ref="J923:L923"/>
    <mergeCell ref="G924:I924"/>
    <mergeCell ref="J924:L924"/>
    <mergeCell ref="G925:I925"/>
    <mergeCell ref="J925:L925"/>
    <mergeCell ref="J926:L926"/>
    <mergeCell ref="G927:I927"/>
    <mergeCell ref="J927:L927"/>
    <mergeCell ref="J928:L928"/>
    <mergeCell ref="J934:L934"/>
    <mergeCell ref="G935:I935"/>
    <mergeCell ref="J935:L935"/>
    <mergeCell ref="G936:I936"/>
    <mergeCell ref="J936:L936"/>
    <mergeCell ref="G937:I937"/>
    <mergeCell ref="J937:L937"/>
    <mergeCell ref="J938:L938"/>
    <mergeCell ref="G939:I939"/>
    <mergeCell ref="J939:L939"/>
    <mergeCell ref="J988:L988"/>
    <mergeCell ref="J994:L994"/>
    <mergeCell ref="D944:E944"/>
    <mergeCell ref="G946:I946"/>
    <mergeCell ref="G950:I950"/>
    <mergeCell ref="G952:I952"/>
    <mergeCell ref="D954:N954"/>
    <mergeCell ref="D956:E956"/>
    <mergeCell ref="G958:I958"/>
    <mergeCell ref="G962:I962"/>
    <mergeCell ref="G964:I964"/>
    <mergeCell ref="D966:N966"/>
    <mergeCell ref="D968:E968"/>
    <mergeCell ref="J952:L952"/>
    <mergeCell ref="J958:L958"/>
    <mergeCell ref="G959:I959"/>
    <mergeCell ref="J959:L959"/>
    <mergeCell ref="G960:I960"/>
    <mergeCell ref="J960:L960"/>
    <mergeCell ref="G961:I961"/>
    <mergeCell ref="J961:L961"/>
    <mergeCell ref="J962:L962"/>
    <mergeCell ref="G963:I963"/>
    <mergeCell ref="J963:L963"/>
    <mergeCell ref="J964:L964"/>
    <mergeCell ref="G1008:I1008"/>
    <mergeCell ref="J1008:L1008"/>
    <mergeCell ref="G1009:I1009"/>
    <mergeCell ref="J1009:L1009"/>
    <mergeCell ref="J1010:L1010"/>
    <mergeCell ref="G1011:I1011"/>
    <mergeCell ref="J1011:L1011"/>
    <mergeCell ref="J1012:L1012"/>
    <mergeCell ref="J1018:L1018"/>
    <mergeCell ref="G1019:I1019"/>
    <mergeCell ref="G970:I970"/>
    <mergeCell ref="G974:I974"/>
    <mergeCell ref="G976:I976"/>
    <mergeCell ref="D978:N978"/>
    <mergeCell ref="D980:E980"/>
    <mergeCell ref="G982:I982"/>
    <mergeCell ref="G986:I986"/>
    <mergeCell ref="G988:I988"/>
    <mergeCell ref="D990:N990"/>
    <mergeCell ref="D992:E992"/>
    <mergeCell ref="G994:I994"/>
    <mergeCell ref="J970:L970"/>
    <mergeCell ref="G971:I971"/>
    <mergeCell ref="J971:L971"/>
    <mergeCell ref="G972:I972"/>
    <mergeCell ref="J972:L972"/>
    <mergeCell ref="G973:I973"/>
    <mergeCell ref="J973:L973"/>
    <mergeCell ref="J974:L974"/>
    <mergeCell ref="G975:I975"/>
    <mergeCell ref="J975:L975"/>
    <mergeCell ref="J976:L976"/>
    <mergeCell ref="J1070:L1070"/>
    <mergeCell ref="G1071:I1071"/>
    <mergeCell ref="J1071:L1071"/>
    <mergeCell ref="J1072:L1072"/>
    <mergeCell ref="G1036:I1036"/>
    <mergeCell ref="D1038:N1038"/>
    <mergeCell ref="D1040:E1040"/>
    <mergeCell ref="G1042:I1042"/>
    <mergeCell ref="G1046:I1046"/>
    <mergeCell ref="G1048:I1048"/>
    <mergeCell ref="G1035:I1035"/>
    <mergeCell ref="J1035:L1035"/>
    <mergeCell ref="J1036:L1036"/>
    <mergeCell ref="J1042:L1042"/>
    <mergeCell ref="G1043:I1043"/>
    <mergeCell ref="J1043:L1043"/>
    <mergeCell ref="G1044:I1044"/>
    <mergeCell ref="J1044:L1044"/>
    <mergeCell ref="G1045:I1045"/>
    <mergeCell ref="J1045:L1045"/>
    <mergeCell ref="J1046:L1046"/>
    <mergeCell ref="G1047:I1047"/>
    <mergeCell ref="J1047:L1047"/>
    <mergeCell ref="J1048:L1048"/>
    <mergeCell ref="J1096:L1096"/>
    <mergeCell ref="J1078:L1078"/>
    <mergeCell ref="G1079:I1079"/>
    <mergeCell ref="J1079:L1079"/>
    <mergeCell ref="G1080:I1080"/>
    <mergeCell ref="J1080:L1080"/>
    <mergeCell ref="G1081:I1081"/>
    <mergeCell ref="J1081:L1081"/>
    <mergeCell ref="J1082:L1082"/>
    <mergeCell ref="G1083:I1083"/>
    <mergeCell ref="D1050:N1050"/>
    <mergeCell ref="D1052:E1052"/>
    <mergeCell ref="G1054:I1054"/>
    <mergeCell ref="G1058:I1058"/>
    <mergeCell ref="G1060:I1060"/>
    <mergeCell ref="D1062:N1062"/>
    <mergeCell ref="D1064:E1064"/>
    <mergeCell ref="G1066:I1066"/>
    <mergeCell ref="G1070:I1070"/>
    <mergeCell ref="G1072:I1072"/>
    <mergeCell ref="D1074:N1074"/>
    <mergeCell ref="J1054:L1054"/>
    <mergeCell ref="G1055:I1055"/>
    <mergeCell ref="J1055:L1055"/>
    <mergeCell ref="G1056:I1056"/>
    <mergeCell ref="J1056:L1056"/>
    <mergeCell ref="G1057:I1057"/>
    <mergeCell ref="J1057:L1057"/>
    <mergeCell ref="J1058:L1058"/>
    <mergeCell ref="G1059:I1059"/>
    <mergeCell ref="J1059:L1059"/>
    <mergeCell ref="J1060:L1060"/>
    <mergeCell ref="J1104:L1104"/>
    <mergeCell ref="G1105:I1105"/>
    <mergeCell ref="J1105:L1105"/>
    <mergeCell ref="J1106:L1106"/>
    <mergeCell ref="G1107:I1107"/>
    <mergeCell ref="J1107:L1107"/>
    <mergeCell ref="J1108:L1108"/>
    <mergeCell ref="J1114:L1114"/>
    <mergeCell ref="G1115:I1115"/>
    <mergeCell ref="J1115:L1115"/>
    <mergeCell ref="D1076:E1076"/>
    <mergeCell ref="G1078:I1078"/>
    <mergeCell ref="G1082:I1082"/>
    <mergeCell ref="G1084:I1084"/>
    <mergeCell ref="D1086:N1086"/>
    <mergeCell ref="D1088:E1088"/>
    <mergeCell ref="G1090:I1090"/>
    <mergeCell ref="G1094:I1094"/>
    <mergeCell ref="G1096:I1096"/>
    <mergeCell ref="D1098:N1098"/>
    <mergeCell ref="D1100:E1100"/>
    <mergeCell ref="J1084:L1084"/>
    <mergeCell ref="J1090:L1090"/>
    <mergeCell ref="G1091:I1091"/>
    <mergeCell ref="J1091:L1091"/>
    <mergeCell ref="G1092:I1092"/>
    <mergeCell ref="J1092:L1092"/>
    <mergeCell ref="G1093:I1093"/>
    <mergeCell ref="J1093:L1093"/>
    <mergeCell ref="J1094:L1094"/>
    <mergeCell ref="G1095:I1095"/>
    <mergeCell ref="J1095:L1095"/>
    <mergeCell ref="J1175:L1175"/>
    <mergeCell ref="G1176:I1176"/>
    <mergeCell ref="J1176:L1176"/>
    <mergeCell ref="G1177:I1177"/>
    <mergeCell ref="J1177:L1177"/>
    <mergeCell ref="J1178:L1178"/>
    <mergeCell ref="G1179:I1179"/>
    <mergeCell ref="J1179:L1179"/>
    <mergeCell ref="J1180:L1180"/>
    <mergeCell ref="G1132:I1132"/>
    <mergeCell ref="D1134:N1134"/>
    <mergeCell ref="D1136:E1136"/>
    <mergeCell ref="G1138:I1138"/>
    <mergeCell ref="G1142:I1142"/>
    <mergeCell ref="G1144:I1144"/>
    <mergeCell ref="D1146:N1146"/>
    <mergeCell ref="D1148:E1148"/>
    <mergeCell ref="G1150:I1150"/>
    <mergeCell ref="G1154:I1154"/>
    <mergeCell ref="J1132:L1132"/>
    <mergeCell ref="J1138:L1138"/>
    <mergeCell ref="G1139:I1139"/>
    <mergeCell ref="J1139:L1139"/>
    <mergeCell ref="G1140:I1140"/>
    <mergeCell ref="J1140:L1140"/>
    <mergeCell ref="G1141:I1141"/>
    <mergeCell ref="J1141:L1141"/>
    <mergeCell ref="J1142:L1142"/>
    <mergeCell ref="G1143:I1143"/>
    <mergeCell ref="J1143:L1143"/>
    <mergeCell ref="J1144:L1144"/>
    <mergeCell ref="J1150:L1150"/>
    <mergeCell ref="G1212:I1212"/>
    <mergeCell ref="J1212:L1212"/>
    <mergeCell ref="G1213:I1213"/>
    <mergeCell ref="J1213:L1213"/>
    <mergeCell ref="J1214:L1214"/>
    <mergeCell ref="G1215:I1215"/>
    <mergeCell ref="J1215:L1215"/>
    <mergeCell ref="D1182:N1182"/>
    <mergeCell ref="D1184:E1184"/>
    <mergeCell ref="G1186:I1186"/>
    <mergeCell ref="G1190:I1190"/>
    <mergeCell ref="G1192:I1192"/>
    <mergeCell ref="D1194:N1194"/>
    <mergeCell ref="D1196:E1196"/>
    <mergeCell ref="G1198:I1198"/>
    <mergeCell ref="G1202:I1202"/>
    <mergeCell ref="G1204:I1204"/>
    <mergeCell ref="D1206:N1206"/>
    <mergeCell ref="J1186:L1186"/>
    <mergeCell ref="G1187:I1187"/>
    <mergeCell ref="J1187:L1187"/>
    <mergeCell ref="G1188:I1188"/>
    <mergeCell ref="J1188:L1188"/>
    <mergeCell ref="G1189:I1189"/>
    <mergeCell ref="J1189:L1189"/>
    <mergeCell ref="J1190:L1190"/>
    <mergeCell ref="G1191:I1191"/>
    <mergeCell ref="J1191:L1191"/>
    <mergeCell ref="J1192:L1192"/>
    <mergeCell ref="J1198:L1198"/>
    <mergeCell ref="G1199:I1199"/>
    <mergeCell ref="J1199:L1199"/>
    <mergeCell ref="G1214:I1214"/>
    <mergeCell ref="G1216:I1216"/>
    <mergeCell ref="D1218:N1218"/>
    <mergeCell ref="D1220:E1220"/>
    <mergeCell ref="G1222:I1222"/>
    <mergeCell ref="G1226:I1226"/>
    <mergeCell ref="G1228:I1228"/>
    <mergeCell ref="D1230:N1230"/>
    <mergeCell ref="D1232:E1232"/>
    <mergeCell ref="J1216:L1216"/>
    <mergeCell ref="J1222:L1222"/>
    <mergeCell ref="G1223:I1223"/>
    <mergeCell ref="J1223:L1223"/>
    <mergeCell ref="G1224:I1224"/>
    <mergeCell ref="J1224:L1224"/>
    <mergeCell ref="G1225:I1225"/>
    <mergeCell ref="J1225:L1225"/>
    <mergeCell ref="J1226:L1226"/>
    <mergeCell ref="G1227:I1227"/>
    <mergeCell ref="J1227:L1227"/>
    <mergeCell ref="J1228:L1228"/>
    <mergeCell ref="G1234:I1234"/>
    <mergeCell ref="G1238:I1238"/>
    <mergeCell ref="G1240:I1240"/>
    <mergeCell ref="D1242:N1242"/>
    <mergeCell ref="D1244:E1244"/>
    <mergeCell ref="G1246:I1246"/>
    <mergeCell ref="J1246:M1246"/>
    <mergeCell ref="G1250:I1250"/>
    <mergeCell ref="J1250:M1250"/>
    <mergeCell ref="G1252:I1252"/>
    <mergeCell ref="J1252:M1252"/>
    <mergeCell ref="D1254:N1254"/>
    <mergeCell ref="D1256:E1256"/>
    <mergeCell ref="G1258:I1258"/>
    <mergeCell ref="J1258:M1258"/>
    <mergeCell ref="J1234:L1234"/>
    <mergeCell ref="G1235:I1235"/>
    <mergeCell ref="J1235:L1235"/>
    <mergeCell ref="G1236:I1236"/>
    <mergeCell ref="J1236:L1236"/>
    <mergeCell ref="G1237:I1237"/>
    <mergeCell ref="J1237:L1237"/>
    <mergeCell ref="J1238:L1238"/>
    <mergeCell ref="G1239:I1239"/>
    <mergeCell ref="J1239:L1239"/>
    <mergeCell ref="J1240:L1240"/>
    <mergeCell ref="G1262:I1262"/>
    <mergeCell ref="J1262:M1262"/>
    <mergeCell ref="G1264:I1264"/>
    <mergeCell ref="J1264:M1264"/>
    <mergeCell ref="D1266:N1266"/>
    <mergeCell ref="D1268:E1268"/>
    <mergeCell ref="G1270:I1270"/>
    <mergeCell ref="J1270:M1270"/>
    <mergeCell ref="G1274:I1274"/>
    <mergeCell ref="J1274:M1274"/>
    <mergeCell ref="G1276:I1276"/>
    <mergeCell ref="J1276:M1276"/>
    <mergeCell ref="D1278:N1278"/>
    <mergeCell ref="D1280:E1280"/>
    <mergeCell ref="G1282:I1282"/>
    <mergeCell ref="J1282:M1282"/>
    <mergeCell ref="G1286:I1286"/>
    <mergeCell ref="J1286:M1286"/>
    <mergeCell ref="G1288:I1288"/>
    <mergeCell ref="J1288:M1288"/>
    <mergeCell ref="D1290:N1290"/>
    <mergeCell ref="D1292:E1292"/>
    <mergeCell ref="G1294:I1294"/>
    <mergeCell ref="J1294:M1294"/>
    <mergeCell ref="G1298:I1298"/>
    <mergeCell ref="J1298:M1298"/>
    <mergeCell ref="G1300:I1300"/>
    <mergeCell ref="J1300:M1300"/>
    <mergeCell ref="D1302:N1302"/>
    <mergeCell ref="D1304:E1304"/>
    <mergeCell ref="G1306:I1306"/>
    <mergeCell ref="J1306:M1306"/>
    <mergeCell ref="G1310:I1310"/>
    <mergeCell ref="J1310:M1310"/>
    <mergeCell ref="G1312:I1312"/>
    <mergeCell ref="J1312:M1312"/>
    <mergeCell ref="D1314:N1314"/>
    <mergeCell ref="D1316:E1316"/>
    <mergeCell ref="G1318:I1318"/>
    <mergeCell ref="J1318:M1318"/>
    <mergeCell ref="G1322:I1322"/>
    <mergeCell ref="J1322:M1322"/>
    <mergeCell ref="G1324:I1324"/>
    <mergeCell ref="J1324:M1324"/>
    <mergeCell ref="D1326:N1326"/>
    <mergeCell ref="D1328:E1328"/>
    <mergeCell ref="G1330:I1330"/>
    <mergeCell ref="J1330:M1330"/>
    <mergeCell ref="G1334:I1334"/>
    <mergeCell ref="J1334:M1334"/>
    <mergeCell ref="G1336:I1336"/>
    <mergeCell ref="J1336:M1336"/>
    <mergeCell ref="D1338:N1338"/>
    <mergeCell ref="D1340:E1340"/>
    <mergeCell ref="G1342:I1342"/>
    <mergeCell ref="J1342:M1342"/>
    <mergeCell ref="G1346:I1346"/>
    <mergeCell ref="J1346:M1346"/>
    <mergeCell ref="G1348:I1348"/>
    <mergeCell ref="J1348:M1348"/>
    <mergeCell ref="G31:N31"/>
    <mergeCell ref="J47:L47"/>
    <mergeCell ref="J46:L46"/>
    <mergeCell ref="J48:L48"/>
    <mergeCell ref="J49:L49"/>
    <mergeCell ref="J50:L50"/>
    <mergeCell ref="J51:L51"/>
    <mergeCell ref="J52:L52"/>
    <mergeCell ref="G47:I47"/>
    <mergeCell ref="G48:I48"/>
    <mergeCell ref="G49:I49"/>
    <mergeCell ref="G51:I51"/>
    <mergeCell ref="J58:L58"/>
    <mergeCell ref="J59:L59"/>
    <mergeCell ref="J60:L60"/>
    <mergeCell ref="G61:I61"/>
    <mergeCell ref="J61:L61"/>
    <mergeCell ref="J62:L62"/>
    <mergeCell ref="G63:I63"/>
    <mergeCell ref="J63:L63"/>
    <mergeCell ref="J64:L64"/>
    <mergeCell ref="J70:L70"/>
    <mergeCell ref="G71:I71"/>
    <mergeCell ref="J71:L71"/>
    <mergeCell ref="G72:I72"/>
    <mergeCell ref="G124:I124"/>
    <mergeCell ref="G167:I167"/>
    <mergeCell ref="J167:L167"/>
    <mergeCell ref="G168:I168"/>
    <mergeCell ref="J168:L168"/>
    <mergeCell ref="G169:I169"/>
    <mergeCell ref="J169:L169"/>
    <mergeCell ref="J170:L170"/>
    <mergeCell ref="J171:L171"/>
    <mergeCell ref="J172:L172"/>
    <mergeCell ref="J178:L178"/>
    <mergeCell ref="G158:I158"/>
    <mergeCell ref="G160:I160"/>
    <mergeCell ref="D162:N162"/>
    <mergeCell ref="D164:E164"/>
    <mergeCell ref="G166:I166"/>
    <mergeCell ref="J124:L124"/>
    <mergeCell ref="J130:L130"/>
    <mergeCell ref="J131:L131"/>
    <mergeCell ref="J132:L132"/>
    <mergeCell ref="G133:I133"/>
    <mergeCell ref="J133:L133"/>
    <mergeCell ref="J134:L134"/>
    <mergeCell ref="G135:I135"/>
    <mergeCell ref="J135:L135"/>
    <mergeCell ref="J136:L136"/>
    <mergeCell ref="J142:L142"/>
    <mergeCell ref="G143:I143"/>
    <mergeCell ref="J143:L143"/>
    <mergeCell ref="G144:I144"/>
    <mergeCell ref="D150:N150"/>
    <mergeCell ref="D152:E152"/>
    <mergeCell ref="J179:L179"/>
    <mergeCell ref="J180:L180"/>
    <mergeCell ref="G181:I181"/>
    <mergeCell ref="J181:L181"/>
    <mergeCell ref="J182:L182"/>
    <mergeCell ref="G183:I183"/>
    <mergeCell ref="J183:L183"/>
    <mergeCell ref="J184:L184"/>
    <mergeCell ref="J190:L190"/>
    <mergeCell ref="G170:I170"/>
    <mergeCell ref="G178:I178"/>
    <mergeCell ref="G179:I179"/>
    <mergeCell ref="G182:I182"/>
    <mergeCell ref="G184:I184"/>
    <mergeCell ref="D186:N186"/>
    <mergeCell ref="D188:E188"/>
    <mergeCell ref="G190:I190"/>
    <mergeCell ref="J195:L195"/>
    <mergeCell ref="J196:L196"/>
    <mergeCell ref="J202:L202"/>
    <mergeCell ref="J203:L203"/>
    <mergeCell ref="G204:I204"/>
    <mergeCell ref="J204:L204"/>
    <mergeCell ref="G205:I205"/>
    <mergeCell ref="J205:L205"/>
    <mergeCell ref="G191:I191"/>
    <mergeCell ref="J191:L191"/>
    <mergeCell ref="G192:I192"/>
    <mergeCell ref="J192:L192"/>
    <mergeCell ref="G193:I193"/>
    <mergeCell ref="J193:L193"/>
    <mergeCell ref="J194:L194"/>
    <mergeCell ref="J216:L216"/>
    <mergeCell ref="G195:I195"/>
    <mergeCell ref="D198:N198"/>
    <mergeCell ref="G196:I196"/>
    <mergeCell ref="J239:L239"/>
    <mergeCell ref="G240:I240"/>
    <mergeCell ref="J240:L240"/>
    <mergeCell ref="G241:I241"/>
    <mergeCell ref="J241:L241"/>
    <mergeCell ref="J242:L242"/>
    <mergeCell ref="J243:L243"/>
    <mergeCell ref="J244:L244"/>
    <mergeCell ref="J250:L250"/>
    <mergeCell ref="J251:L251"/>
    <mergeCell ref="J252:L252"/>
    <mergeCell ref="G253:I253"/>
    <mergeCell ref="J253:L253"/>
    <mergeCell ref="G252:I252"/>
    <mergeCell ref="G239:I239"/>
    <mergeCell ref="G229:I229"/>
    <mergeCell ref="J229:L229"/>
    <mergeCell ref="J230:L230"/>
    <mergeCell ref="G231:I231"/>
    <mergeCell ref="J231:L231"/>
    <mergeCell ref="J232:L232"/>
    <mergeCell ref="J238:L238"/>
    <mergeCell ref="G242:I242"/>
    <mergeCell ref="G243:I243"/>
    <mergeCell ref="G244:I244"/>
    <mergeCell ref="D246:N246"/>
    <mergeCell ref="D248:E248"/>
    <mergeCell ref="G250:I250"/>
    <mergeCell ref="G230:I230"/>
    <mergeCell ref="G232:I232"/>
    <mergeCell ref="D234:N234"/>
    <mergeCell ref="D236:E236"/>
    <mergeCell ref="J298:L298"/>
    <mergeCell ref="J299:L299"/>
    <mergeCell ref="J300:L300"/>
    <mergeCell ref="G301:I301"/>
    <mergeCell ref="J301:L301"/>
    <mergeCell ref="J302:L302"/>
    <mergeCell ref="G303:I303"/>
    <mergeCell ref="J303:L303"/>
    <mergeCell ref="J304:L304"/>
    <mergeCell ref="J310:L310"/>
    <mergeCell ref="G311:I311"/>
    <mergeCell ref="J311:L311"/>
    <mergeCell ref="G304:I304"/>
    <mergeCell ref="D306:N306"/>
    <mergeCell ref="D308:E308"/>
    <mergeCell ref="G310:I310"/>
    <mergeCell ref="G302:I302"/>
    <mergeCell ref="G299:I299"/>
    <mergeCell ref="G298:I298"/>
    <mergeCell ref="J370:L370"/>
    <mergeCell ref="J371:L371"/>
    <mergeCell ref="J372:L372"/>
    <mergeCell ref="G373:I373"/>
    <mergeCell ref="J373:L373"/>
    <mergeCell ref="G358:I358"/>
    <mergeCell ref="D366:N366"/>
    <mergeCell ref="D368:E368"/>
    <mergeCell ref="G370:I370"/>
    <mergeCell ref="G371:I371"/>
    <mergeCell ref="G372:I372"/>
    <mergeCell ref="G363:I363"/>
    <mergeCell ref="G364:I364"/>
    <mergeCell ref="J411:L411"/>
    <mergeCell ref="J412:L412"/>
    <mergeCell ref="J418:L418"/>
    <mergeCell ref="J419:L419"/>
    <mergeCell ref="J387:L387"/>
    <mergeCell ref="J388:L388"/>
    <mergeCell ref="G386:I386"/>
    <mergeCell ref="G387:I387"/>
    <mergeCell ref="D390:N390"/>
    <mergeCell ref="D392:E392"/>
    <mergeCell ref="G395:I395"/>
    <mergeCell ref="G396:I396"/>
    <mergeCell ref="G394:I394"/>
    <mergeCell ref="G388:I388"/>
    <mergeCell ref="G407:I407"/>
    <mergeCell ref="J407:L407"/>
    <mergeCell ref="G408:I408"/>
    <mergeCell ref="J408:L408"/>
    <mergeCell ref="G374:I374"/>
    <mergeCell ref="J431:L431"/>
    <mergeCell ref="G432:I432"/>
    <mergeCell ref="J432:L432"/>
    <mergeCell ref="G433:I433"/>
    <mergeCell ref="J433:L433"/>
    <mergeCell ref="J434:L434"/>
    <mergeCell ref="J435:L435"/>
    <mergeCell ref="J436:L436"/>
    <mergeCell ref="J442:L442"/>
    <mergeCell ref="J443:L443"/>
    <mergeCell ref="G422:I422"/>
    <mergeCell ref="G424:I424"/>
    <mergeCell ref="D426:N426"/>
    <mergeCell ref="D428:E428"/>
    <mergeCell ref="G430:I430"/>
    <mergeCell ref="J444:L444"/>
    <mergeCell ref="G445:I445"/>
    <mergeCell ref="J445:L445"/>
    <mergeCell ref="D438:N438"/>
    <mergeCell ref="G436:I436"/>
    <mergeCell ref="G434:I434"/>
    <mergeCell ref="J446:L446"/>
    <mergeCell ref="G446:I446"/>
    <mergeCell ref="G481:I481"/>
    <mergeCell ref="J481:L481"/>
    <mergeCell ref="J482:L482"/>
    <mergeCell ref="J483:L483"/>
    <mergeCell ref="J484:L484"/>
    <mergeCell ref="G478:I478"/>
    <mergeCell ref="G447:I447"/>
    <mergeCell ref="J447:L447"/>
    <mergeCell ref="J448:L448"/>
    <mergeCell ref="J454:L454"/>
    <mergeCell ref="G455:I455"/>
    <mergeCell ref="J455:L455"/>
    <mergeCell ref="G456:I456"/>
    <mergeCell ref="J456:L456"/>
    <mergeCell ref="G457:I457"/>
    <mergeCell ref="J457:L457"/>
    <mergeCell ref="J458:L458"/>
    <mergeCell ref="J459:L459"/>
    <mergeCell ref="J460:L460"/>
    <mergeCell ref="J466:L466"/>
    <mergeCell ref="J471:L471"/>
    <mergeCell ref="J472:L472"/>
    <mergeCell ref="J478:L478"/>
    <mergeCell ref="G479:I479"/>
    <mergeCell ref="J479:L479"/>
    <mergeCell ref="G480:I480"/>
    <mergeCell ref="J480:L480"/>
    <mergeCell ref="G448:I448"/>
    <mergeCell ref="D450:N450"/>
    <mergeCell ref="G494:I494"/>
    <mergeCell ref="G496:I496"/>
    <mergeCell ref="D498:N498"/>
    <mergeCell ref="D500:E500"/>
    <mergeCell ref="G502:I502"/>
    <mergeCell ref="J528:L528"/>
    <mergeCell ref="G529:I529"/>
    <mergeCell ref="J529:L529"/>
    <mergeCell ref="J530:L530"/>
    <mergeCell ref="J531:L531"/>
    <mergeCell ref="J532:L532"/>
    <mergeCell ref="J538:L538"/>
    <mergeCell ref="J539:L539"/>
    <mergeCell ref="J540:L540"/>
    <mergeCell ref="G541:I541"/>
    <mergeCell ref="J541:L541"/>
    <mergeCell ref="J542:L542"/>
    <mergeCell ref="G530:I530"/>
    <mergeCell ref="G531:I531"/>
    <mergeCell ref="D512:E512"/>
    <mergeCell ref="G538:I538"/>
    <mergeCell ref="G539:I539"/>
    <mergeCell ref="G540:I540"/>
    <mergeCell ref="G532:I532"/>
    <mergeCell ref="D534:N534"/>
    <mergeCell ref="D536:E536"/>
    <mergeCell ref="G519:I519"/>
    <mergeCell ref="J502:L502"/>
    <mergeCell ref="G503:I503"/>
    <mergeCell ref="J503:L503"/>
    <mergeCell ref="J543:L543"/>
    <mergeCell ref="J544:L544"/>
    <mergeCell ref="J550:L550"/>
    <mergeCell ref="G551:I551"/>
    <mergeCell ref="J551:L551"/>
    <mergeCell ref="G544:I544"/>
    <mergeCell ref="D546:N546"/>
    <mergeCell ref="G552:I552"/>
    <mergeCell ref="J552:L552"/>
    <mergeCell ref="G553:I553"/>
    <mergeCell ref="J553:L553"/>
    <mergeCell ref="J554:L554"/>
    <mergeCell ref="G555:I555"/>
    <mergeCell ref="J555:L555"/>
    <mergeCell ref="J556:L556"/>
    <mergeCell ref="J562:L562"/>
    <mergeCell ref="G563:I563"/>
    <mergeCell ref="J563:L563"/>
    <mergeCell ref="D548:E548"/>
    <mergeCell ref="G550:I550"/>
    <mergeCell ref="G613:I613"/>
    <mergeCell ref="J613:L613"/>
    <mergeCell ref="J614:L614"/>
    <mergeCell ref="G615:I615"/>
    <mergeCell ref="J615:L615"/>
    <mergeCell ref="G575:I575"/>
    <mergeCell ref="J575:L575"/>
    <mergeCell ref="G576:I576"/>
    <mergeCell ref="J576:L576"/>
    <mergeCell ref="G577:I577"/>
    <mergeCell ref="J577:L577"/>
    <mergeCell ref="G554:I554"/>
    <mergeCell ref="D558:N558"/>
    <mergeCell ref="D560:E560"/>
    <mergeCell ref="G562:I562"/>
    <mergeCell ref="G556:I556"/>
    <mergeCell ref="G578:I578"/>
    <mergeCell ref="G579:I579"/>
    <mergeCell ref="G580:I580"/>
    <mergeCell ref="G566:I566"/>
    <mergeCell ref="G568:I568"/>
    <mergeCell ref="D570:N570"/>
    <mergeCell ref="D572:E572"/>
    <mergeCell ref="G574:I574"/>
    <mergeCell ref="G564:I564"/>
    <mergeCell ref="J564:L564"/>
    <mergeCell ref="G565:I565"/>
    <mergeCell ref="J565:L565"/>
    <mergeCell ref="J566:L566"/>
    <mergeCell ref="G567:I567"/>
    <mergeCell ref="J567:L567"/>
    <mergeCell ref="J568:L568"/>
    <mergeCell ref="J616:L616"/>
    <mergeCell ref="J622:L622"/>
    <mergeCell ref="G623:I623"/>
    <mergeCell ref="J623:L623"/>
    <mergeCell ref="G624:I624"/>
    <mergeCell ref="J624:L624"/>
    <mergeCell ref="G625:I625"/>
    <mergeCell ref="J625:L625"/>
    <mergeCell ref="J626:L626"/>
    <mergeCell ref="J627:L627"/>
    <mergeCell ref="G626:I626"/>
    <mergeCell ref="G614:I614"/>
    <mergeCell ref="G616:I616"/>
    <mergeCell ref="D618:N618"/>
    <mergeCell ref="D620:E620"/>
    <mergeCell ref="G622:I622"/>
    <mergeCell ref="J637:L637"/>
    <mergeCell ref="G636:I636"/>
    <mergeCell ref="G628:I628"/>
    <mergeCell ref="D630:N630"/>
    <mergeCell ref="D632:E632"/>
    <mergeCell ref="G635:I635"/>
    <mergeCell ref="J628:L628"/>
    <mergeCell ref="J634:L634"/>
    <mergeCell ref="J635:L635"/>
    <mergeCell ref="J636:L636"/>
    <mergeCell ref="G637:I637"/>
    <mergeCell ref="G634:I634"/>
    <mergeCell ref="G627:I627"/>
    <mergeCell ref="J638:L638"/>
    <mergeCell ref="G639:I639"/>
    <mergeCell ref="J639:L639"/>
    <mergeCell ref="J640:L640"/>
    <mergeCell ref="J646:L646"/>
    <mergeCell ref="G647:I647"/>
    <mergeCell ref="J647:L647"/>
    <mergeCell ref="G648:I648"/>
    <mergeCell ref="J648:L648"/>
    <mergeCell ref="G649:I649"/>
    <mergeCell ref="J649:L649"/>
    <mergeCell ref="J650:L650"/>
    <mergeCell ref="J651:L651"/>
    <mergeCell ref="J652:L652"/>
    <mergeCell ref="J658:L658"/>
    <mergeCell ref="J659:L659"/>
    <mergeCell ref="G640:I640"/>
    <mergeCell ref="D642:N642"/>
    <mergeCell ref="D644:E644"/>
    <mergeCell ref="G646:I646"/>
    <mergeCell ref="D654:N654"/>
    <mergeCell ref="D656:E656"/>
    <mergeCell ref="G658:I658"/>
    <mergeCell ref="G659:I659"/>
    <mergeCell ref="G650:I650"/>
    <mergeCell ref="G651:I651"/>
    <mergeCell ref="G652:I652"/>
    <mergeCell ref="G638:I638"/>
    <mergeCell ref="J687:L687"/>
    <mergeCell ref="J688:L688"/>
    <mergeCell ref="J694:L694"/>
    <mergeCell ref="G695:I695"/>
    <mergeCell ref="J695:L695"/>
    <mergeCell ref="G696:I696"/>
    <mergeCell ref="J696:L696"/>
    <mergeCell ref="G697:I697"/>
    <mergeCell ref="J697:L697"/>
    <mergeCell ref="J698:L698"/>
    <mergeCell ref="J699:L699"/>
    <mergeCell ref="D690:N690"/>
    <mergeCell ref="G699:I699"/>
    <mergeCell ref="J706:L706"/>
    <mergeCell ref="J707:L707"/>
    <mergeCell ref="J708:L708"/>
    <mergeCell ref="G709:I709"/>
    <mergeCell ref="J709:L709"/>
    <mergeCell ref="G700:I700"/>
    <mergeCell ref="D702:N702"/>
    <mergeCell ref="D704:E704"/>
    <mergeCell ref="G698:I698"/>
    <mergeCell ref="G708:I708"/>
    <mergeCell ref="D692:E692"/>
    <mergeCell ref="G694:I694"/>
    <mergeCell ref="G743:I743"/>
    <mergeCell ref="J743:L743"/>
    <mergeCell ref="G744:I744"/>
    <mergeCell ref="J744:L744"/>
    <mergeCell ref="G745:I745"/>
    <mergeCell ref="J745:L745"/>
    <mergeCell ref="J746:L746"/>
    <mergeCell ref="J747:L747"/>
    <mergeCell ref="J748:L748"/>
    <mergeCell ref="J754:L754"/>
    <mergeCell ref="J755:L755"/>
    <mergeCell ref="J756:L756"/>
    <mergeCell ref="G757:I757"/>
    <mergeCell ref="J757:L757"/>
    <mergeCell ref="J758:L758"/>
    <mergeCell ref="G759:I759"/>
    <mergeCell ref="J759:L759"/>
    <mergeCell ref="G754:I754"/>
    <mergeCell ref="G755:I755"/>
    <mergeCell ref="G756:I756"/>
    <mergeCell ref="G746:I746"/>
    <mergeCell ref="G747:I747"/>
    <mergeCell ref="G748:I748"/>
    <mergeCell ref="D750:N750"/>
    <mergeCell ref="D752:E752"/>
    <mergeCell ref="J760:L760"/>
    <mergeCell ref="J766:L766"/>
    <mergeCell ref="G767:I767"/>
    <mergeCell ref="J767:L767"/>
    <mergeCell ref="G768:I768"/>
    <mergeCell ref="J768:L768"/>
    <mergeCell ref="G769:I769"/>
    <mergeCell ref="J769:L769"/>
    <mergeCell ref="J770:L770"/>
    <mergeCell ref="J771:L771"/>
    <mergeCell ref="J772:L772"/>
    <mergeCell ref="J778:L778"/>
    <mergeCell ref="J779:L779"/>
    <mergeCell ref="J780:L780"/>
    <mergeCell ref="G781:I781"/>
    <mergeCell ref="J781:L781"/>
    <mergeCell ref="J782:L782"/>
    <mergeCell ref="G782:I782"/>
    <mergeCell ref="D774:N774"/>
    <mergeCell ref="D776:E776"/>
    <mergeCell ref="G778:I778"/>
    <mergeCell ref="G772:I772"/>
    <mergeCell ref="G770:I770"/>
    <mergeCell ref="G771:I771"/>
    <mergeCell ref="G779:I779"/>
    <mergeCell ref="G780:I780"/>
    <mergeCell ref="G841:I841"/>
    <mergeCell ref="J841:L841"/>
    <mergeCell ref="J862:L862"/>
    <mergeCell ref="G832:I832"/>
    <mergeCell ref="D834:N834"/>
    <mergeCell ref="D836:E836"/>
    <mergeCell ref="G838:I838"/>
    <mergeCell ref="D846:N846"/>
    <mergeCell ref="D848:E848"/>
    <mergeCell ref="G850:I850"/>
    <mergeCell ref="G854:I854"/>
    <mergeCell ref="G856:I856"/>
    <mergeCell ref="D858:N858"/>
    <mergeCell ref="D860:E860"/>
    <mergeCell ref="G862:I862"/>
    <mergeCell ref="J842:L842"/>
    <mergeCell ref="J843:L843"/>
    <mergeCell ref="J844:L844"/>
    <mergeCell ref="J864:L864"/>
    <mergeCell ref="J850:L850"/>
    <mergeCell ref="G851:I851"/>
    <mergeCell ref="J851:L851"/>
    <mergeCell ref="G852:I852"/>
    <mergeCell ref="J852:L852"/>
    <mergeCell ref="G853:I853"/>
    <mergeCell ref="J853:L853"/>
    <mergeCell ref="J854:L854"/>
    <mergeCell ref="G855:I855"/>
    <mergeCell ref="J855:L855"/>
    <mergeCell ref="J856:L856"/>
    <mergeCell ref="G843:I843"/>
    <mergeCell ref="G842:I842"/>
    <mergeCell ref="G863:I863"/>
    <mergeCell ref="J863:L863"/>
    <mergeCell ref="G865:I865"/>
    <mergeCell ref="J865:L865"/>
    <mergeCell ref="G864:I864"/>
    <mergeCell ref="J866:L866"/>
    <mergeCell ref="G867:I867"/>
    <mergeCell ref="J867:L867"/>
    <mergeCell ref="J868:L868"/>
    <mergeCell ref="J874:L874"/>
    <mergeCell ref="G875:I875"/>
    <mergeCell ref="J875:L875"/>
    <mergeCell ref="G876:I876"/>
    <mergeCell ref="J876:L876"/>
    <mergeCell ref="G877:I877"/>
    <mergeCell ref="J877:L877"/>
    <mergeCell ref="G891:I891"/>
    <mergeCell ref="J891:L891"/>
    <mergeCell ref="J892:L892"/>
    <mergeCell ref="J890:L890"/>
    <mergeCell ref="J898:L898"/>
    <mergeCell ref="G899:I899"/>
    <mergeCell ref="J899:L899"/>
    <mergeCell ref="G900:I900"/>
    <mergeCell ref="J900:L900"/>
    <mergeCell ref="G901:I901"/>
    <mergeCell ref="J901:L901"/>
    <mergeCell ref="J902:L902"/>
    <mergeCell ref="G903:I903"/>
    <mergeCell ref="J903:L903"/>
    <mergeCell ref="J904:L904"/>
    <mergeCell ref="J910:L910"/>
    <mergeCell ref="G911:I911"/>
    <mergeCell ref="J911:L911"/>
    <mergeCell ref="G892:I892"/>
    <mergeCell ref="D894:N894"/>
    <mergeCell ref="D896:E896"/>
    <mergeCell ref="G898:I898"/>
    <mergeCell ref="G902:I902"/>
    <mergeCell ref="G904:I904"/>
    <mergeCell ref="D906:N906"/>
    <mergeCell ref="D908:E908"/>
    <mergeCell ref="G910:I910"/>
    <mergeCell ref="J940:L940"/>
    <mergeCell ref="J946:L946"/>
    <mergeCell ref="G947:I947"/>
    <mergeCell ref="J947:L947"/>
    <mergeCell ref="G948:I948"/>
    <mergeCell ref="J948:L948"/>
    <mergeCell ref="G949:I949"/>
    <mergeCell ref="J949:L949"/>
    <mergeCell ref="J950:L950"/>
    <mergeCell ref="G951:I951"/>
    <mergeCell ref="J951:L951"/>
    <mergeCell ref="G984:I984"/>
    <mergeCell ref="J984:L984"/>
    <mergeCell ref="G985:I985"/>
    <mergeCell ref="J985:L985"/>
    <mergeCell ref="J986:L986"/>
    <mergeCell ref="G987:I987"/>
    <mergeCell ref="J987:L987"/>
    <mergeCell ref="J982:L982"/>
    <mergeCell ref="G983:I983"/>
    <mergeCell ref="J983:L983"/>
    <mergeCell ref="G995:I995"/>
    <mergeCell ref="J995:L995"/>
    <mergeCell ref="G996:I996"/>
    <mergeCell ref="J996:L996"/>
    <mergeCell ref="G997:I997"/>
    <mergeCell ref="J997:L997"/>
    <mergeCell ref="J998:L998"/>
    <mergeCell ref="G999:I999"/>
    <mergeCell ref="J999:L999"/>
    <mergeCell ref="G998:I998"/>
    <mergeCell ref="J1019:L1019"/>
    <mergeCell ref="G1020:I1020"/>
    <mergeCell ref="J1020:L1020"/>
    <mergeCell ref="G1021:I1021"/>
    <mergeCell ref="J1021:L1021"/>
    <mergeCell ref="J1022:L1022"/>
    <mergeCell ref="G1023:I1023"/>
    <mergeCell ref="J1023:L1023"/>
    <mergeCell ref="G1000:I1000"/>
    <mergeCell ref="D1002:N1002"/>
    <mergeCell ref="D1004:E1004"/>
    <mergeCell ref="G1006:I1006"/>
    <mergeCell ref="G1010:I1010"/>
    <mergeCell ref="G1012:I1012"/>
    <mergeCell ref="D1014:N1014"/>
    <mergeCell ref="D1016:E1016"/>
    <mergeCell ref="G1018:I1018"/>
    <mergeCell ref="G1022:I1022"/>
    <mergeCell ref="J1000:L1000"/>
    <mergeCell ref="J1006:L1006"/>
    <mergeCell ref="G1007:I1007"/>
    <mergeCell ref="J1007:L1007"/>
    <mergeCell ref="J1024:L1024"/>
    <mergeCell ref="J1030:L1030"/>
    <mergeCell ref="G1031:I1031"/>
    <mergeCell ref="J1031:L1031"/>
    <mergeCell ref="G1032:I1032"/>
    <mergeCell ref="J1032:L1032"/>
    <mergeCell ref="G1033:I1033"/>
    <mergeCell ref="J1033:L1033"/>
    <mergeCell ref="J1034:L1034"/>
    <mergeCell ref="G1024:I1024"/>
    <mergeCell ref="D1026:N1026"/>
    <mergeCell ref="D1028:E1028"/>
    <mergeCell ref="G1030:I1030"/>
    <mergeCell ref="G1034:I1034"/>
    <mergeCell ref="J1068:L1068"/>
    <mergeCell ref="G1069:I1069"/>
    <mergeCell ref="J1069:L1069"/>
    <mergeCell ref="J1066:L1066"/>
    <mergeCell ref="G1067:I1067"/>
    <mergeCell ref="J1067:L1067"/>
    <mergeCell ref="G1068:I1068"/>
    <mergeCell ref="J1083:L1083"/>
    <mergeCell ref="G1116:I1116"/>
    <mergeCell ref="J1116:L1116"/>
    <mergeCell ref="G1117:I1117"/>
    <mergeCell ref="J1117:L1117"/>
    <mergeCell ref="J1118:L1118"/>
    <mergeCell ref="G1119:I1119"/>
    <mergeCell ref="J1119:L1119"/>
    <mergeCell ref="J1120:L1120"/>
    <mergeCell ref="J1126:L1126"/>
    <mergeCell ref="G1127:I1127"/>
    <mergeCell ref="J1127:L1127"/>
    <mergeCell ref="G1128:I1128"/>
    <mergeCell ref="J1128:L1128"/>
    <mergeCell ref="G1129:I1129"/>
    <mergeCell ref="J1129:L1129"/>
    <mergeCell ref="J1130:L1130"/>
    <mergeCell ref="G1102:I1102"/>
    <mergeCell ref="G1106:I1106"/>
    <mergeCell ref="G1108:I1108"/>
    <mergeCell ref="D1110:N1110"/>
    <mergeCell ref="D1112:E1112"/>
    <mergeCell ref="G1114:I1114"/>
    <mergeCell ref="G1118:I1118"/>
    <mergeCell ref="G1120:I1120"/>
    <mergeCell ref="D1122:N1122"/>
    <mergeCell ref="D1124:E1124"/>
    <mergeCell ref="G1126:I1126"/>
    <mergeCell ref="J1102:L1102"/>
    <mergeCell ref="G1103:I1103"/>
    <mergeCell ref="J1103:L1103"/>
    <mergeCell ref="G1104:I1104"/>
    <mergeCell ref="G1131:I1131"/>
    <mergeCell ref="J1131:L1131"/>
    <mergeCell ref="G1130:I1130"/>
    <mergeCell ref="J1151:L1151"/>
    <mergeCell ref="G1152:I1152"/>
    <mergeCell ref="J1152:L1152"/>
    <mergeCell ref="G1153:I1153"/>
    <mergeCell ref="J1153:L1153"/>
    <mergeCell ref="J1154:L1154"/>
    <mergeCell ref="G1155:I1155"/>
    <mergeCell ref="J1155:L1155"/>
    <mergeCell ref="J1156:L1156"/>
    <mergeCell ref="J1162:L1162"/>
    <mergeCell ref="G1163:I1163"/>
    <mergeCell ref="J1163:L1163"/>
    <mergeCell ref="G1164:I1164"/>
    <mergeCell ref="J1164:L1164"/>
    <mergeCell ref="G1151:I1151"/>
    <mergeCell ref="G1165:I1165"/>
    <mergeCell ref="J1165:L1165"/>
    <mergeCell ref="J1166:L1166"/>
    <mergeCell ref="G1156:I1156"/>
    <mergeCell ref="D1158:N1158"/>
    <mergeCell ref="D1160:E1160"/>
    <mergeCell ref="G1162:I1162"/>
    <mergeCell ref="G1166:I1166"/>
    <mergeCell ref="J1200:L1200"/>
    <mergeCell ref="G1201:I1201"/>
    <mergeCell ref="J1201:L1201"/>
    <mergeCell ref="J1202:L1202"/>
    <mergeCell ref="G1203:I1203"/>
    <mergeCell ref="J1203:L1203"/>
    <mergeCell ref="J1204:L1204"/>
    <mergeCell ref="J1210:L1210"/>
    <mergeCell ref="G1211:I1211"/>
    <mergeCell ref="J1211:L1211"/>
    <mergeCell ref="D1208:E1208"/>
    <mergeCell ref="G1210:I1210"/>
    <mergeCell ref="G1200:I1200"/>
    <mergeCell ref="G1168:I1168"/>
    <mergeCell ref="D1170:N1170"/>
    <mergeCell ref="D1172:E1172"/>
    <mergeCell ref="G1174:I1174"/>
    <mergeCell ref="G1178:I1178"/>
    <mergeCell ref="G1180:I1180"/>
    <mergeCell ref="G1167:I1167"/>
    <mergeCell ref="J1167:L1167"/>
    <mergeCell ref="J1168:L1168"/>
    <mergeCell ref="J1174:L1174"/>
    <mergeCell ref="G1175:I1175"/>
    <mergeCell ref="R43:R45"/>
    <mergeCell ref="S43:S45"/>
    <mergeCell ref="T43:T45"/>
    <mergeCell ref="U43:U45"/>
    <mergeCell ref="V43:V45"/>
    <mergeCell ref="W43:W45"/>
    <mergeCell ref="X43:X45"/>
    <mergeCell ref="AF1:AL1"/>
    <mergeCell ref="AG18:AJ18"/>
    <mergeCell ref="AG19:AH19"/>
    <mergeCell ref="AI19:AJ19"/>
    <mergeCell ref="AG20:AH20"/>
    <mergeCell ref="AI20:AJ20"/>
    <mergeCell ref="AG21:AH21"/>
    <mergeCell ref="AI21:AJ21"/>
    <mergeCell ref="AG22:AH22"/>
    <mergeCell ref="AI22:AJ22"/>
    <mergeCell ref="AG23:AH23"/>
    <mergeCell ref="AI23:AJ23"/>
    <mergeCell ref="AD25:AN25"/>
    <mergeCell ref="AD27:AN27"/>
    <mergeCell ref="AG31:AN31"/>
    <mergeCell ref="AG34:AN34"/>
    <mergeCell ref="AG35:AN35"/>
    <mergeCell ref="AG36:AN36"/>
    <mergeCell ref="AG37:AN37"/>
    <mergeCell ref="AG38:AN38"/>
    <mergeCell ref="AJ46:AL46"/>
    <mergeCell ref="AG47:AI47"/>
    <mergeCell ref="AJ47:AL47"/>
    <mergeCell ref="AG48:AI48"/>
    <mergeCell ref="AJ48:AL48"/>
    <mergeCell ref="AG49:AI49"/>
    <mergeCell ref="AJ49:AL49"/>
    <mergeCell ref="AJ50:AL50"/>
    <mergeCell ref="AG51:AI51"/>
    <mergeCell ref="AJ51:AL51"/>
    <mergeCell ref="AJ52:AL52"/>
    <mergeCell ref="AJ58:AL58"/>
    <mergeCell ref="AJ59:AL59"/>
    <mergeCell ref="AJ60:AL60"/>
    <mergeCell ref="AG61:AI61"/>
    <mergeCell ref="AJ61:AL61"/>
    <mergeCell ref="AG62:AI62"/>
    <mergeCell ref="AJ62:AL62"/>
    <mergeCell ref="AG63:AI63"/>
    <mergeCell ref="AJ63:AL63"/>
    <mergeCell ref="AG64:AI64"/>
    <mergeCell ref="AJ64:AL64"/>
    <mergeCell ref="AD66:AN66"/>
    <mergeCell ref="AD68:AE68"/>
    <mergeCell ref="AG70:AI70"/>
    <mergeCell ref="AJ70:AL70"/>
    <mergeCell ref="AG71:AI71"/>
    <mergeCell ref="AJ71:AL71"/>
    <mergeCell ref="AG72:AI72"/>
    <mergeCell ref="AJ72:AL72"/>
    <mergeCell ref="AG73:AI73"/>
    <mergeCell ref="AJ73:AL73"/>
    <mergeCell ref="AJ74:AL74"/>
    <mergeCell ref="AJ75:AL75"/>
    <mergeCell ref="AJ76:AL76"/>
    <mergeCell ref="AJ82:AL82"/>
    <mergeCell ref="AJ83:AL83"/>
    <mergeCell ref="AJ84:AL84"/>
    <mergeCell ref="AG85:AI85"/>
    <mergeCell ref="AJ85:AL85"/>
    <mergeCell ref="AG86:AI86"/>
    <mergeCell ref="AJ86:AL86"/>
    <mergeCell ref="AG87:AI87"/>
    <mergeCell ref="AJ87:AL87"/>
    <mergeCell ref="AG88:AI88"/>
    <mergeCell ref="AJ88:AL88"/>
    <mergeCell ref="AD90:AN90"/>
    <mergeCell ref="AD92:AE92"/>
    <mergeCell ref="AG94:AI94"/>
    <mergeCell ref="AJ94:AL94"/>
    <mergeCell ref="AG95:AI95"/>
    <mergeCell ref="AJ95:AL95"/>
    <mergeCell ref="AG96:AI96"/>
    <mergeCell ref="AJ96:AL96"/>
    <mergeCell ref="AG97:AI97"/>
    <mergeCell ref="AJ97:AL97"/>
    <mergeCell ref="AJ98:AL98"/>
    <mergeCell ref="AJ99:AL99"/>
    <mergeCell ref="AJ100:AL100"/>
    <mergeCell ref="AJ106:AL106"/>
    <mergeCell ref="AJ107:AL107"/>
    <mergeCell ref="AJ108:AL108"/>
    <mergeCell ref="AG109:AI109"/>
    <mergeCell ref="AJ109:AL109"/>
    <mergeCell ref="AG110:AI110"/>
    <mergeCell ref="AJ110:AL110"/>
    <mergeCell ref="AG111:AI111"/>
    <mergeCell ref="AJ111:AL111"/>
    <mergeCell ref="AG112:AI112"/>
    <mergeCell ref="AJ112:AL112"/>
    <mergeCell ref="AJ142:AL142"/>
    <mergeCell ref="AG143:AI143"/>
    <mergeCell ref="AJ143:AL143"/>
    <mergeCell ref="AJ154:AL154"/>
    <mergeCell ref="AJ155:AL155"/>
    <mergeCell ref="AJ156:AL156"/>
    <mergeCell ref="AG157:AI157"/>
    <mergeCell ref="AJ157:AL157"/>
    <mergeCell ref="AG158:AI158"/>
    <mergeCell ref="AJ158:AL158"/>
    <mergeCell ref="AG159:AI159"/>
    <mergeCell ref="AJ159:AL159"/>
    <mergeCell ref="AG160:AI160"/>
    <mergeCell ref="AJ160:AL160"/>
    <mergeCell ref="AD162:AN162"/>
    <mergeCell ref="AD164:AE164"/>
    <mergeCell ref="AG166:AI166"/>
    <mergeCell ref="AJ166:AL166"/>
    <mergeCell ref="AD150:AN150"/>
    <mergeCell ref="AD152:AE152"/>
    <mergeCell ref="AG167:AI167"/>
    <mergeCell ref="AJ167:AL167"/>
    <mergeCell ref="AG168:AI168"/>
    <mergeCell ref="AJ168:AL168"/>
    <mergeCell ref="AG169:AI169"/>
    <mergeCell ref="AJ169:AL169"/>
    <mergeCell ref="AJ170:AL170"/>
    <mergeCell ref="AJ171:AL171"/>
    <mergeCell ref="AJ172:AL172"/>
    <mergeCell ref="AJ178:AL178"/>
    <mergeCell ref="AJ179:AL179"/>
    <mergeCell ref="AJ180:AL180"/>
    <mergeCell ref="AG181:AI181"/>
    <mergeCell ref="AJ181:AL181"/>
    <mergeCell ref="AG182:AI182"/>
    <mergeCell ref="AJ182:AL182"/>
    <mergeCell ref="AG183:AI183"/>
    <mergeCell ref="AJ183:AL183"/>
    <mergeCell ref="AG170:AI170"/>
    <mergeCell ref="AG171:AI171"/>
    <mergeCell ref="AG172:AI172"/>
    <mergeCell ref="AD174:AN174"/>
    <mergeCell ref="AD176:AE176"/>
    <mergeCell ref="AG180:AI180"/>
    <mergeCell ref="AG178:AI178"/>
    <mergeCell ref="AG207:AI207"/>
    <mergeCell ref="AJ207:AL207"/>
    <mergeCell ref="AG208:AI208"/>
    <mergeCell ref="AJ208:AL208"/>
    <mergeCell ref="AD210:AN210"/>
    <mergeCell ref="AD212:AE212"/>
    <mergeCell ref="AG214:AI214"/>
    <mergeCell ref="AJ214:AL214"/>
    <mergeCell ref="AG191:AI191"/>
    <mergeCell ref="AJ191:AL191"/>
    <mergeCell ref="AG192:AI192"/>
    <mergeCell ref="AJ192:AL192"/>
    <mergeCell ref="AG193:AI193"/>
    <mergeCell ref="AJ193:AL193"/>
    <mergeCell ref="AJ194:AL194"/>
    <mergeCell ref="AJ195:AL195"/>
    <mergeCell ref="AD198:AN198"/>
    <mergeCell ref="AD200:AE200"/>
    <mergeCell ref="AG202:AI202"/>
    <mergeCell ref="AG203:AI203"/>
    <mergeCell ref="AG204:AI204"/>
    <mergeCell ref="AG194:AI194"/>
    <mergeCell ref="AG195:AI195"/>
    <mergeCell ref="AG242:AI242"/>
    <mergeCell ref="AG227:AI227"/>
    <mergeCell ref="AG216:AI216"/>
    <mergeCell ref="AJ216:AL216"/>
    <mergeCell ref="AG217:AI217"/>
    <mergeCell ref="AJ217:AL217"/>
    <mergeCell ref="AJ218:AL218"/>
    <mergeCell ref="AJ219:AL219"/>
    <mergeCell ref="AJ220:AL220"/>
    <mergeCell ref="AJ226:AL226"/>
    <mergeCell ref="AJ227:AL227"/>
    <mergeCell ref="AJ228:AL228"/>
    <mergeCell ref="AJ243:AL243"/>
    <mergeCell ref="AG243:AI243"/>
    <mergeCell ref="AJ244:AL244"/>
    <mergeCell ref="AJ250:AL250"/>
    <mergeCell ref="AJ251:AL251"/>
    <mergeCell ref="AD222:AN222"/>
    <mergeCell ref="AD224:AE224"/>
    <mergeCell ref="AJ252:AL252"/>
    <mergeCell ref="AG253:AI253"/>
    <mergeCell ref="AJ253:AL253"/>
    <mergeCell ref="AG254:AI254"/>
    <mergeCell ref="AJ254:AL254"/>
    <mergeCell ref="AG255:AI255"/>
    <mergeCell ref="AJ255:AL255"/>
    <mergeCell ref="AG256:AI256"/>
    <mergeCell ref="AJ256:AL256"/>
    <mergeCell ref="AD258:AN258"/>
    <mergeCell ref="AD260:AE260"/>
    <mergeCell ref="AG262:AI262"/>
    <mergeCell ref="AJ262:AL262"/>
    <mergeCell ref="AG263:AI263"/>
    <mergeCell ref="AJ263:AL263"/>
    <mergeCell ref="AG279:AI279"/>
    <mergeCell ref="AJ279:AL279"/>
    <mergeCell ref="AG276:AI276"/>
    <mergeCell ref="AG264:AI264"/>
    <mergeCell ref="AJ264:AL264"/>
    <mergeCell ref="AG265:AI265"/>
    <mergeCell ref="AJ265:AL265"/>
    <mergeCell ref="AJ266:AL266"/>
    <mergeCell ref="AJ267:AL267"/>
    <mergeCell ref="AJ268:AL268"/>
    <mergeCell ref="AJ274:AL274"/>
    <mergeCell ref="AJ275:AL275"/>
    <mergeCell ref="AJ276:AL276"/>
    <mergeCell ref="AG280:AI280"/>
    <mergeCell ref="AJ280:AL280"/>
    <mergeCell ref="AD282:AN282"/>
    <mergeCell ref="AD284:AE284"/>
    <mergeCell ref="AG286:AI286"/>
    <mergeCell ref="AJ286:AL286"/>
    <mergeCell ref="AG287:AI287"/>
    <mergeCell ref="AJ287:AL287"/>
    <mergeCell ref="AG288:AI288"/>
    <mergeCell ref="AJ288:AL288"/>
    <mergeCell ref="AG289:AI289"/>
    <mergeCell ref="AJ289:AL289"/>
    <mergeCell ref="AJ290:AL290"/>
    <mergeCell ref="AG277:AI277"/>
    <mergeCell ref="AJ277:AL277"/>
    <mergeCell ref="AG278:AI278"/>
    <mergeCell ref="AJ278:AL278"/>
    <mergeCell ref="AJ327:AL327"/>
    <mergeCell ref="AG328:AI328"/>
    <mergeCell ref="AJ328:AL328"/>
    <mergeCell ref="AG314:AI314"/>
    <mergeCell ref="AG315:AI315"/>
    <mergeCell ref="AD318:AN318"/>
    <mergeCell ref="AD320:AE320"/>
    <mergeCell ref="AG322:AI322"/>
    <mergeCell ref="AG316:AI316"/>
    <mergeCell ref="AG323:AI323"/>
    <mergeCell ref="AD330:AN330"/>
    <mergeCell ref="AG324:AI324"/>
    <mergeCell ref="AG351:AI351"/>
    <mergeCell ref="AJ351:AL351"/>
    <mergeCell ref="AG352:AI352"/>
    <mergeCell ref="AJ352:AL352"/>
    <mergeCell ref="AD354:AN354"/>
    <mergeCell ref="AJ346:AL346"/>
    <mergeCell ref="AJ347:AL347"/>
    <mergeCell ref="AJ348:AL348"/>
    <mergeCell ref="AG349:AI349"/>
    <mergeCell ref="AJ349:AL349"/>
    <mergeCell ref="AG350:AI350"/>
    <mergeCell ref="AJ350:AL350"/>
    <mergeCell ref="AD332:AE332"/>
    <mergeCell ref="AG334:AI334"/>
    <mergeCell ref="AJ334:AL334"/>
    <mergeCell ref="AG335:AI335"/>
    <mergeCell ref="AJ335:AL335"/>
    <mergeCell ref="AG336:AI336"/>
    <mergeCell ref="AJ336:AL336"/>
    <mergeCell ref="AG337:AI337"/>
    <mergeCell ref="AJ337:AL337"/>
    <mergeCell ref="AG340:AI340"/>
    <mergeCell ref="AG338:AI338"/>
    <mergeCell ref="AG339:AI339"/>
    <mergeCell ref="AG347:AI347"/>
    <mergeCell ref="AG348:AI348"/>
    <mergeCell ref="AD342:AN342"/>
    <mergeCell ref="AD344:AE344"/>
    <mergeCell ref="AJ362:AL362"/>
    <mergeCell ref="AJ363:AL363"/>
    <mergeCell ref="AJ364:AL364"/>
    <mergeCell ref="AG362:AI362"/>
    <mergeCell ref="AG373:AI373"/>
    <mergeCell ref="AJ373:AL373"/>
    <mergeCell ref="AG374:AI374"/>
    <mergeCell ref="AJ374:AL374"/>
    <mergeCell ref="AG375:AI375"/>
    <mergeCell ref="AJ375:AL375"/>
    <mergeCell ref="AD366:AN366"/>
    <mergeCell ref="AD368:AE368"/>
    <mergeCell ref="AG370:AI370"/>
    <mergeCell ref="AG371:AI371"/>
    <mergeCell ref="AG372:AI372"/>
    <mergeCell ref="AJ370:AL370"/>
    <mergeCell ref="AJ371:AL371"/>
    <mergeCell ref="AJ372:AL372"/>
    <mergeCell ref="AG363:AI363"/>
    <mergeCell ref="AG364:AI364"/>
    <mergeCell ref="AD356:AE356"/>
    <mergeCell ref="AG358:AI358"/>
    <mergeCell ref="AJ358:AL358"/>
    <mergeCell ref="AG359:AI359"/>
    <mergeCell ref="AG384:AI384"/>
    <mergeCell ref="AJ384:AL384"/>
    <mergeCell ref="AG385:AI385"/>
    <mergeCell ref="AJ385:AL385"/>
    <mergeCell ref="AJ386:AL386"/>
    <mergeCell ref="AJ387:AL387"/>
    <mergeCell ref="AJ388:AL388"/>
    <mergeCell ref="AJ394:AL394"/>
    <mergeCell ref="AJ395:AL395"/>
    <mergeCell ref="AJ396:AL396"/>
    <mergeCell ref="AG397:AI397"/>
    <mergeCell ref="AJ397:AL397"/>
    <mergeCell ref="AG398:AI398"/>
    <mergeCell ref="AJ398:AL398"/>
    <mergeCell ref="AG399:AI399"/>
    <mergeCell ref="AJ399:AL399"/>
    <mergeCell ref="AG400:AI400"/>
    <mergeCell ref="AJ400:AL400"/>
    <mergeCell ref="AD390:AN390"/>
    <mergeCell ref="AG394:AI394"/>
    <mergeCell ref="AD392:AE392"/>
    <mergeCell ref="AG395:AI395"/>
    <mergeCell ref="AG396:AI396"/>
    <mergeCell ref="AJ412:AL412"/>
    <mergeCell ref="AJ418:AL418"/>
    <mergeCell ref="AJ419:AL419"/>
    <mergeCell ref="AJ420:AL420"/>
    <mergeCell ref="AG421:AI421"/>
    <mergeCell ref="AJ421:AL421"/>
    <mergeCell ref="AG422:AI422"/>
    <mergeCell ref="AJ422:AL422"/>
    <mergeCell ref="AG423:AI423"/>
    <mergeCell ref="AJ423:AL423"/>
    <mergeCell ref="AJ433:AL433"/>
    <mergeCell ref="AJ434:AL434"/>
    <mergeCell ref="AJ435:AL435"/>
    <mergeCell ref="AJ436:AL436"/>
    <mergeCell ref="AJ442:AL442"/>
    <mergeCell ref="AJ443:AL443"/>
    <mergeCell ref="AJ444:AL444"/>
    <mergeCell ref="AG412:AI412"/>
    <mergeCell ref="AD414:AN414"/>
    <mergeCell ref="AD416:AE416"/>
    <mergeCell ref="AG418:AI418"/>
    <mergeCell ref="AG419:AI419"/>
    <mergeCell ref="AG420:AI420"/>
    <mergeCell ref="AG443:AI443"/>
    <mergeCell ref="AG444:AI444"/>
    <mergeCell ref="AG424:AI424"/>
    <mergeCell ref="AJ424:AL424"/>
    <mergeCell ref="AD426:AN426"/>
    <mergeCell ref="AD428:AE428"/>
    <mergeCell ref="AD438:AN438"/>
    <mergeCell ref="AD440:AE440"/>
    <mergeCell ref="AG442:AI442"/>
    <mergeCell ref="AG445:AI445"/>
    <mergeCell ref="AJ445:AL445"/>
    <mergeCell ref="AG446:AI446"/>
    <mergeCell ref="AJ446:AL446"/>
    <mergeCell ref="AG447:AI447"/>
    <mergeCell ref="AJ447:AL447"/>
    <mergeCell ref="AG448:AI448"/>
    <mergeCell ref="AJ448:AL448"/>
    <mergeCell ref="AD450:AN450"/>
    <mergeCell ref="AD452:AE452"/>
    <mergeCell ref="AG454:AI454"/>
    <mergeCell ref="AJ454:AL454"/>
    <mergeCell ref="AG455:AI455"/>
    <mergeCell ref="AJ455:AL455"/>
    <mergeCell ref="AG456:AI456"/>
    <mergeCell ref="AJ456:AL456"/>
    <mergeCell ref="AG457:AI457"/>
    <mergeCell ref="AJ457:AL457"/>
    <mergeCell ref="AJ458:AL458"/>
    <mergeCell ref="AJ459:AL459"/>
    <mergeCell ref="AJ460:AL460"/>
    <mergeCell ref="AJ466:AL466"/>
    <mergeCell ref="AJ467:AL467"/>
    <mergeCell ref="AJ468:AL468"/>
    <mergeCell ref="AG469:AI469"/>
    <mergeCell ref="AJ469:AL469"/>
    <mergeCell ref="AG470:AI470"/>
    <mergeCell ref="AJ470:AL470"/>
    <mergeCell ref="AG458:AI458"/>
    <mergeCell ref="AG459:AI459"/>
    <mergeCell ref="AG460:AI460"/>
    <mergeCell ref="AD462:AN462"/>
    <mergeCell ref="AD464:AE464"/>
    <mergeCell ref="AG468:AI468"/>
    <mergeCell ref="AG467:AI467"/>
    <mergeCell ref="AG466:AI466"/>
    <mergeCell ref="AJ493:AL493"/>
    <mergeCell ref="AG494:AI494"/>
    <mergeCell ref="AJ494:AL494"/>
    <mergeCell ref="AG482:AI482"/>
    <mergeCell ref="AG504:AI504"/>
    <mergeCell ref="AJ504:AL504"/>
    <mergeCell ref="AG505:AI505"/>
    <mergeCell ref="AJ505:AL505"/>
    <mergeCell ref="AJ506:AL506"/>
    <mergeCell ref="AJ507:AL507"/>
    <mergeCell ref="AJ508:AL508"/>
    <mergeCell ref="AJ514:AL514"/>
    <mergeCell ref="AJ515:AL515"/>
    <mergeCell ref="AJ516:AL516"/>
    <mergeCell ref="AG517:AI517"/>
    <mergeCell ref="AJ517:AL517"/>
    <mergeCell ref="AG518:AI518"/>
    <mergeCell ref="AJ518:AL518"/>
    <mergeCell ref="AD498:AN498"/>
    <mergeCell ref="AG538:AI538"/>
    <mergeCell ref="AG539:AI539"/>
    <mergeCell ref="AG540:AI540"/>
    <mergeCell ref="AG542:AI542"/>
    <mergeCell ref="AJ542:AL542"/>
    <mergeCell ref="AG543:AI543"/>
    <mergeCell ref="AJ543:AL543"/>
    <mergeCell ref="AG544:AI544"/>
    <mergeCell ref="AJ544:AL544"/>
    <mergeCell ref="AD546:AN546"/>
    <mergeCell ref="AD548:AE548"/>
    <mergeCell ref="AG550:AI550"/>
    <mergeCell ref="AJ550:AL550"/>
    <mergeCell ref="AG551:AI551"/>
    <mergeCell ref="AJ551:AL551"/>
    <mergeCell ref="AG552:AI552"/>
    <mergeCell ref="AJ552:AL552"/>
    <mergeCell ref="AG553:AI553"/>
    <mergeCell ref="AJ553:AL553"/>
    <mergeCell ref="AJ554:AL554"/>
    <mergeCell ref="AG574:AI574"/>
    <mergeCell ref="AJ574:AL574"/>
    <mergeCell ref="AJ568:AL568"/>
    <mergeCell ref="AD570:AN570"/>
    <mergeCell ref="AD572:AE572"/>
    <mergeCell ref="AJ562:AL562"/>
    <mergeCell ref="AJ563:AL563"/>
    <mergeCell ref="AJ564:AL564"/>
    <mergeCell ref="AG562:AI562"/>
    <mergeCell ref="AG563:AI563"/>
    <mergeCell ref="AG564:AI564"/>
    <mergeCell ref="AG554:AI554"/>
    <mergeCell ref="AG555:AI555"/>
    <mergeCell ref="AG556:AI556"/>
    <mergeCell ref="AJ555:AL555"/>
    <mergeCell ref="AJ556:AL556"/>
    <mergeCell ref="AG576:AI576"/>
    <mergeCell ref="AJ576:AL576"/>
    <mergeCell ref="AG577:AI577"/>
    <mergeCell ref="AJ577:AL577"/>
    <mergeCell ref="AJ578:AL578"/>
    <mergeCell ref="AJ579:AL579"/>
    <mergeCell ref="AJ580:AL580"/>
    <mergeCell ref="AJ586:AL586"/>
    <mergeCell ref="AJ587:AL587"/>
    <mergeCell ref="AJ588:AL588"/>
    <mergeCell ref="AG589:AI589"/>
    <mergeCell ref="AJ589:AL589"/>
    <mergeCell ref="AG588:AI588"/>
    <mergeCell ref="AJ614:AL614"/>
    <mergeCell ref="AG615:AI615"/>
    <mergeCell ref="AJ615:AL615"/>
    <mergeCell ref="AG616:AI616"/>
    <mergeCell ref="AJ616:AL616"/>
    <mergeCell ref="AG578:AI578"/>
    <mergeCell ref="AG579:AI579"/>
    <mergeCell ref="AG580:AI580"/>
    <mergeCell ref="AD582:AN582"/>
    <mergeCell ref="AD584:AE584"/>
    <mergeCell ref="AG586:AI586"/>
    <mergeCell ref="AG587:AI587"/>
    <mergeCell ref="AG590:AI590"/>
    <mergeCell ref="AJ590:AL590"/>
    <mergeCell ref="AG591:AI591"/>
    <mergeCell ref="AJ591:AL591"/>
    <mergeCell ref="AG592:AI592"/>
    <mergeCell ref="AJ592:AL592"/>
    <mergeCell ref="AD594:AN594"/>
    <mergeCell ref="AD618:AN618"/>
    <mergeCell ref="AD620:AE620"/>
    <mergeCell ref="AG622:AI622"/>
    <mergeCell ref="AJ622:AL622"/>
    <mergeCell ref="AG623:AI623"/>
    <mergeCell ref="AJ623:AL623"/>
    <mergeCell ref="AG624:AI624"/>
    <mergeCell ref="AJ624:AL624"/>
    <mergeCell ref="AG625:AI625"/>
    <mergeCell ref="AJ625:AL625"/>
    <mergeCell ref="AJ626:AL626"/>
    <mergeCell ref="AJ627:AL627"/>
    <mergeCell ref="AG614:AI614"/>
    <mergeCell ref="AJ658:AL658"/>
    <mergeCell ref="AJ659:AL659"/>
    <mergeCell ref="AJ660:AL660"/>
    <mergeCell ref="AG661:AI661"/>
    <mergeCell ref="AJ661:AL661"/>
    <mergeCell ref="AG650:AI650"/>
    <mergeCell ref="AG651:AI651"/>
    <mergeCell ref="AG652:AI652"/>
    <mergeCell ref="AD656:AE656"/>
    <mergeCell ref="AG658:AI658"/>
    <mergeCell ref="AG659:AI659"/>
    <mergeCell ref="AG660:AI660"/>
    <mergeCell ref="AG628:AI628"/>
    <mergeCell ref="AD630:AN630"/>
    <mergeCell ref="AD632:AE632"/>
    <mergeCell ref="AJ628:AL628"/>
    <mergeCell ref="AJ634:AL634"/>
    <mergeCell ref="AJ635:AL635"/>
    <mergeCell ref="AJ636:AL636"/>
    <mergeCell ref="AG673:AI673"/>
    <mergeCell ref="AJ673:AL673"/>
    <mergeCell ref="AJ674:AL674"/>
    <mergeCell ref="AJ675:AL675"/>
    <mergeCell ref="AJ676:AL676"/>
    <mergeCell ref="AJ662:AL662"/>
    <mergeCell ref="AG663:AI663"/>
    <mergeCell ref="AJ663:AL663"/>
    <mergeCell ref="AG664:AI664"/>
    <mergeCell ref="AJ664:AL664"/>
    <mergeCell ref="AD666:AN666"/>
    <mergeCell ref="AD668:AE668"/>
    <mergeCell ref="AG670:AI670"/>
    <mergeCell ref="AJ670:AL670"/>
    <mergeCell ref="AG671:AI671"/>
    <mergeCell ref="AJ671:AL671"/>
    <mergeCell ref="AG672:AI672"/>
    <mergeCell ref="AJ672:AL672"/>
    <mergeCell ref="AJ684:AL684"/>
    <mergeCell ref="AG685:AI685"/>
    <mergeCell ref="AJ685:AL685"/>
    <mergeCell ref="AG686:AI686"/>
    <mergeCell ref="AJ686:AL686"/>
    <mergeCell ref="AG687:AI687"/>
    <mergeCell ref="AJ687:AL687"/>
    <mergeCell ref="AG688:AI688"/>
    <mergeCell ref="AJ688:AL688"/>
    <mergeCell ref="AD690:AN690"/>
    <mergeCell ref="AD678:AN678"/>
    <mergeCell ref="AD680:AE680"/>
    <mergeCell ref="AG682:AI682"/>
    <mergeCell ref="AD692:AE692"/>
    <mergeCell ref="AG694:AI694"/>
    <mergeCell ref="AJ694:AL694"/>
    <mergeCell ref="AG695:AI695"/>
    <mergeCell ref="AJ695:AL695"/>
    <mergeCell ref="AJ682:AL682"/>
    <mergeCell ref="AJ683:AL683"/>
    <mergeCell ref="AG684:AI684"/>
    <mergeCell ref="AG683:AI683"/>
    <mergeCell ref="AG696:AI696"/>
    <mergeCell ref="AJ696:AL696"/>
    <mergeCell ref="AG697:AI697"/>
    <mergeCell ref="AJ697:AL697"/>
    <mergeCell ref="AJ698:AL698"/>
    <mergeCell ref="AJ699:AL699"/>
    <mergeCell ref="AJ700:AL700"/>
    <mergeCell ref="AJ706:AL706"/>
    <mergeCell ref="AJ707:AL707"/>
    <mergeCell ref="AJ708:AL708"/>
    <mergeCell ref="AG709:AI709"/>
    <mergeCell ref="AJ709:AL709"/>
    <mergeCell ref="AG710:AI710"/>
    <mergeCell ref="AJ710:AL710"/>
    <mergeCell ref="AG711:AI711"/>
    <mergeCell ref="AJ711:AL711"/>
    <mergeCell ref="AG712:AI712"/>
    <mergeCell ref="AJ712:AL712"/>
    <mergeCell ref="AG708:AI708"/>
    <mergeCell ref="AG698:AI698"/>
    <mergeCell ref="AG699:AI699"/>
    <mergeCell ref="AG700:AI700"/>
    <mergeCell ref="AD702:AN702"/>
    <mergeCell ref="AD704:AE704"/>
    <mergeCell ref="AD714:AN714"/>
    <mergeCell ref="AD716:AE716"/>
    <mergeCell ref="AG718:AI718"/>
    <mergeCell ref="AJ718:AL718"/>
    <mergeCell ref="AG719:AI719"/>
    <mergeCell ref="AJ719:AL719"/>
    <mergeCell ref="AG720:AI720"/>
    <mergeCell ref="AJ720:AL720"/>
    <mergeCell ref="AG721:AI721"/>
    <mergeCell ref="AJ721:AL721"/>
    <mergeCell ref="AJ722:AL722"/>
    <mergeCell ref="AG734:AI734"/>
    <mergeCell ref="AJ734:AL734"/>
    <mergeCell ref="AG735:AI735"/>
    <mergeCell ref="AJ735:AL735"/>
    <mergeCell ref="AG736:AI736"/>
    <mergeCell ref="AJ736:AL736"/>
    <mergeCell ref="AG722:AI722"/>
    <mergeCell ref="AG723:AI723"/>
    <mergeCell ref="AG724:AI724"/>
    <mergeCell ref="AD726:AN726"/>
    <mergeCell ref="AD728:AE728"/>
    <mergeCell ref="AG732:AI732"/>
    <mergeCell ref="AJ723:AL723"/>
    <mergeCell ref="AJ724:AL724"/>
    <mergeCell ref="AJ730:AL730"/>
    <mergeCell ref="AJ731:AL731"/>
    <mergeCell ref="AJ732:AL732"/>
    <mergeCell ref="AG733:AI733"/>
    <mergeCell ref="AJ733:AL733"/>
    <mergeCell ref="AG730:AI730"/>
    <mergeCell ref="AG731:AI731"/>
    <mergeCell ref="AD738:AN738"/>
    <mergeCell ref="AD740:AE740"/>
    <mergeCell ref="AG742:AI742"/>
    <mergeCell ref="AJ742:AL742"/>
    <mergeCell ref="AG743:AI743"/>
    <mergeCell ref="AJ743:AL743"/>
    <mergeCell ref="AG744:AI744"/>
    <mergeCell ref="AJ744:AL744"/>
    <mergeCell ref="AG745:AI745"/>
    <mergeCell ref="AJ745:AL745"/>
    <mergeCell ref="AJ746:AL746"/>
    <mergeCell ref="AJ747:AL747"/>
    <mergeCell ref="AJ748:AL748"/>
    <mergeCell ref="AJ754:AL754"/>
    <mergeCell ref="AJ755:AL755"/>
    <mergeCell ref="AJ756:AL756"/>
    <mergeCell ref="AG757:AI757"/>
    <mergeCell ref="AJ757:AL757"/>
    <mergeCell ref="AG746:AI746"/>
    <mergeCell ref="AG758:AI758"/>
    <mergeCell ref="AJ758:AL758"/>
    <mergeCell ref="AG759:AI759"/>
    <mergeCell ref="AJ759:AL759"/>
    <mergeCell ref="AG760:AI760"/>
    <mergeCell ref="AJ760:AL760"/>
    <mergeCell ref="AD762:AN762"/>
    <mergeCell ref="AD764:AE764"/>
    <mergeCell ref="AG766:AI766"/>
    <mergeCell ref="AJ766:AL766"/>
    <mergeCell ref="AG756:AI756"/>
    <mergeCell ref="AG754:AI754"/>
    <mergeCell ref="AG755:AI755"/>
    <mergeCell ref="AG767:AI767"/>
    <mergeCell ref="AJ767:AL767"/>
    <mergeCell ref="AG768:AI768"/>
    <mergeCell ref="AJ768:AL768"/>
    <mergeCell ref="AG769:AI769"/>
    <mergeCell ref="AJ769:AL769"/>
    <mergeCell ref="AJ770:AL770"/>
    <mergeCell ref="AJ771:AL771"/>
    <mergeCell ref="AJ772:AL772"/>
    <mergeCell ref="AJ778:AL778"/>
    <mergeCell ref="AJ779:AL779"/>
    <mergeCell ref="AJ780:AL780"/>
    <mergeCell ref="AG781:AI781"/>
    <mergeCell ref="AJ781:AL781"/>
    <mergeCell ref="AG782:AI782"/>
    <mergeCell ref="AJ782:AL782"/>
    <mergeCell ref="AG783:AI783"/>
    <mergeCell ref="AJ783:AL783"/>
    <mergeCell ref="AG770:AI770"/>
    <mergeCell ref="AG784:AI784"/>
    <mergeCell ref="AJ784:AL784"/>
    <mergeCell ref="AD774:AN774"/>
    <mergeCell ref="AD786:AN786"/>
    <mergeCell ref="AD788:AE788"/>
    <mergeCell ref="AG790:AI790"/>
    <mergeCell ref="AJ790:AL790"/>
    <mergeCell ref="AG791:AI791"/>
    <mergeCell ref="AJ791:AL791"/>
    <mergeCell ref="AG792:AI792"/>
    <mergeCell ref="AJ792:AL792"/>
    <mergeCell ref="AG793:AI793"/>
    <mergeCell ref="AJ793:AL793"/>
    <mergeCell ref="AJ794:AL794"/>
    <mergeCell ref="AJ795:AL795"/>
    <mergeCell ref="AJ796:AL796"/>
    <mergeCell ref="AJ802:AL802"/>
    <mergeCell ref="AJ803:AL803"/>
    <mergeCell ref="AJ804:AL804"/>
    <mergeCell ref="AG805:AI805"/>
    <mergeCell ref="AJ805:AL805"/>
    <mergeCell ref="AG796:AI796"/>
    <mergeCell ref="AG795:AI795"/>
    <mergeCell ref="AG794:AI794"/>
    <mergeCell ref="AD798:AN798"/>
    <mergeCell ref="AG806:AI806"/>
    <mergeCell ref="AJ806:AL806"/>
    <mergeCell ref="AG807:AI807"/>
    <mergeCell ref="AJ807:AL807"/>
    <mergeCell ref="AG808:AI808"/>
    <mergeCell ref="AJ808:AL808"/>
    <mergeCell ref="AD810:AN810"/>
    <mergeCell ref="AD812:AE812"/>
    <mergeCell ref="AG814:AI814"/>
    <mergeCell ref="AJ814:AL814"/>
    <mergeCell ref="AG815:AI815"/>
    <mergeCell ref="AJ815:AL815"/>
    <mergeCell ref="AG816:AI816"/>
    <mergeCell ref="AJ816:AL816"/>
    <mergeCell ref="AG817:AI817"/>
    <mergeCell ref="AJ817:AL817"/>
    <mergeCell ref="AJ818:AL818"/>
    <mergeCell ref="AJ819:AL819"/>
    <mergeCell ref="AJ820:AL820"/>
    <mergeCell ref="AJ826:AL826"/>
    <mergeCell ref="AJ827:AL827"/>
    <mergeCell ref="AJ828:AL828"/>
    <mergeCell ref="AG829:AI829"/>
    <mergeCell ref="AJ829:AL829"/>
    <mergeCell ref="AG830:AI830"/>
    <mergeCell ref="AJ830:AL830"/>
    <mergeCell ref="AG831:AI831"/>
    <mergeCell ref="AJ831:AL831"/>
    <mergeCell ref="AG832:AI832"/>
    <mergeCell ref="AJ832:AL832"/>
    <mergeCell ref="AD834:AN834"/>
    <mergeCell ref="AD836:AE836"/>
    <mergeCell ref="AG838:AI838"/>
    <mergeCell ref="AJ838:AL838"/>
    <mergeCell ref="AD822:AN822"/>
    <mergeCell ref="AD824:AE824"/>
    <mergeCell ref="AG839:AI839"/>
    <mergeCell ref="AJ839:AL839"/>
    <mergeCell ref="AG840:AI840"/>
    <mergeCell ref="AJ840:AL840"/>
    <mergeCell ref="AG841:AI841"/>
    <mergeCell ref="AJ841:AL841"/>
    <mergeCell ref="AJ842:AL842"/>
    <mergeCell ref="AJ843:AL843"/>
    <mergeCell ref="AJ844:AL844"/>
    <mergeCell ref="AD846:AN846"/>
    <mergeCell ref="AD848:AE848"/>
    <mergeCell ref="AG850:AI850"/>
    <mergeCell ref="AJ850:AL850"/>
    <mergeCell ref="AG851:AI851"/>
    <mergeCell ref="AJ851:AL851"/>
    <mergeCell ref="AG852:AI852"/>
    <mergeCell ref="AJ852:AL852"/>
    <mergeCell ref="AG842:AI842"/>
    <mergeCell ref="AG843:AI843"/>
    <mergeCell ref="AG853:AI853"/>
    <mergeCell ref="AJ853:AL853"/>
    <mergeCell ref="AG854:AI854"/>
    <mergeCell ref="AJ854:AL854"/>
    <mergeCell ref="AG855:AI855"/>
    <mergeCell ref="AJ855:AL855"/>
    <mergeCell ref="AG856:AI856"/>
    <mergeCell ref="AJ856:AL856"/>
    <mergeCell ref="AD858:AN858"/>
    <mergeCell ref="AD860:AE860"/>
    <mergeCell ref="AG862:AI862"/>
    <mergeCell ref="AJ862:AL862"/>
    <mergeCell ref="AG863:AI863"/>
    <mergeCell ref="AJ863:AL863"/>
    <mergeCell ref="AG864:AI864"/>
    <mergeCell ref="AJ864:AL864"/>
    <mergeCell ref="AG865:AI865"/>
    <mergeCell ref="AJ865:AL865"/>
    <mergeCell ref="AG866:AI866"/>
    <mergeCell ref="AJ866:AL866"/>
    <mergeCell ref="AG867:AI867"/>
    <mergeCell ref="AJ867:AL867"/>
    <mergeCell ref="AG868:AI868"/>
    <mergeCell ref="AJ868:AL868"/>
    <mergeCell ref="AD870:AN870"/>
    <mergeCell ref="AD872:AE872"/>
    <mergeCell ref="AG874:AI874"/>
    <mergeCell ref="AJ874:AL874"/>
    <mergeCell ref="AG875:AI875"/>
    <mergeCell ref="AJ875:AL875"/>
    <mergeCell ref="AG876:AI876"/>
    <mergeCell ref="AJ876:AL876"/>
    <mergeCell ref="AG877:AI877"/>
    <mergeCell ref="AJ877:AL877"/>
    <mergeCell ref="AG878:AI878"/>
    <mergeCell ref="AJ878:AL878"/>
    <mergeCell ref="AG879:AI879"/>
    <mergeCell ref="AJ879:AL879"/>
    <mergeCell ref="AG880:AI880"/>
    <mergeCell ref="AJ880:AL880"/>
    <mergeCell ref="AD882:AN882"/>
    <mergeCell ref="AD884:AE884"/>
    <mergeCell ref="AG886:AI886"/>
    <mergeCell ref="AJ886:AL886"/>
    <mergeCell ref="AG887:AI887"/>
    <mergeCell ref="AJ887:AL887"/>
    <mergeCell ref="AG888:AI888"/>
    <mergeCell ref="AJ888:AL888"/>
    <mergeCell ref="AG889:AI889"/>
    <mergeCell ref="AJ889:AL889"/>
    <mergeCell ref="AG890:AI890"/>
    <mergeCell ref="AJ890:AL890"/>
    <mergeCell ref="AG891:AI891"/>
    <mergeCell ref="AJ891:AL891"/>
    <mergeCell ref="AG892:AI892"/>
    <mergeCell ref="AJ892:AL892"/>
    <mergeCell ref="AD894:AN894"/>
    <mergeCell ref="AD896:AE896"/>
    <mergeCell ref="AG898:AI898"/>
    <mergeCell ref="AJ898:AL898"/>
    <mergeCell ref="AG899:AI899"/>
    <mergeCell ref="AJ899:AL899"/>
    <mergeCell ref="AG900:AI900"/>
    <mergeCell ref="AJ900:AL900"/>
    <mergeCell ref="AG901:AI901"/>
    <mergeCell ref="AJ901:AL901"/>
    <mergeCell ref="AG902:AI902"/>
    <mergeCell ref="AJ902:AL902"/>
    <mergeCell ref="AG903:AI903"/>
    <mergeCell ref="AJ903:AL903"/>
    <mergeCell ref="AG904:AI904"/>
    <mergeCell ref="AJ904:AL904"/>
    <mergeCell ref="AD906:AN906"/>
    <mergeCell ref="AD908:AE908"/>
    <mergeCell ref="AG910:AI910"/>
    <mergeCell ref="AJ910:AL910"/>
    <mergeCell ref="AG911:AI911"/>
    <mergeCell ref="AJ911:AL911"/>
    <mergeCell ref="AG912:AI912"/>
    <mergeCell ref="AJ912:AL912"/>
    <mergeCell ref="AG913:AI913"/>
    <mergeCell ref="AJ913:AL913"/>
    <mergeCell ref="AG914:AI914"/>
    <mergeCell ref="AJ914:AL914"/>
    <mergeCell ref="AG915:AI915"/>
    <mergeCell ref="AJ915:AL915"/>
    <mergeCell ref="AG916:AI916"/>
    <mergeCell ref="AJ916:AL916"/>
    <mergeCell ref="AD918:AN918"/>
    <mergeCell ref="AD920:AE920"/>
    <mergeCell ref="AG922:AI922"/>
    <mergeCell ref="AJ922:AL922"/>
    <mergeCell ref="AG923:AI923"/>
    <mergeCell ref="AJ923:AL923"/>
    <mergeCell ref="AG924:AI924"/>
    <mergeCell ref="AJ924:AL924"/>
    <mergeCell ref="AG925:AI925"/>
    <mergeCell ref="AJ925:AL925"/>
    <mergeCell ref="AG926:AI926"/>
    <mergeCell ref="AJ926:AL926"/>
    <mergeCell ref="AG927:AI927"/>
    <mergeCell ref="AJ927:AL927"/>
    <mergeCell ref="AG928:AI928"/>
    <mergeCell ref="AJ928:AL928"/>
    <mergeCell ref="AD930:AN930"/>
    <mergeCell ref="AD932:AE932"/>
    <mergeCell ref="AG934:AI934"/>
    <mergeCell ref="AJ934:AL934"/>
    <mergeCell ref="AG935:AI935"/>
    <mergeCell ref="AJ935:AL935"/>
    <mergeCell ref="AG936:AI936"/>
    <mergeCell ref="AJ936:AL936"/>
    <mergeCell ref="AG937:AI937"/>
    <mergeCell ref="AJ937:AL937"/>
    <mergeCell ref="AG938:AI938"/>
    <mergeCell ref="AJ938:AL938"/>
    <mergeCell ref="AG939:AI939"/>
    <mergeCell ref="AJ939:AL939"/>
    <mergeCell ref="AG940:AI940"/>
    <mergeCell ref="AJ940:AL940"/>
    <mergeCell ref="AD942:AN942"/>
    <mergeCell ref="AD944:AE944"/>
    <mergeCell ref="AG946:AI946"/>
    <mergeCell ref="AJ946:AL946"/>
    <mergeCell ref="AG947:AI947"/>
    <mergeCell ref="AJ947:AL947"/>
    <mergeCell ref="AG948:AI948"/>
    <mergeCell ref="AJ948:AL948"/>
    <mergeCell ref="AG949:AI949"/>
    <mergeCell ref="AJ949:AL949"/>
    <mergeCell ref="AG950:AI950"/>
    <mergeCell ref="AJ950:AL950"/>
    <mergeCell ref="AG951:AI951"/>
    <mergeCell ref="AJ951:AL951"/>
    <mergeCell ref="AG952:AI952"/>
    <mergeCell ref="AJ952:AL952"/>
    <mergeCell ref="AD954:AN954"/>
    <mergeCell ref="AD956:AE956"/>
    <mergeCell ref="AG958:AI958"/>
    <mergeCell ref="AJ958:AL958"/>
    <mergeCell ref="AG959:AI959"/>
    <mergeCell ref="AJ959:AL959"/>
    <mergeCell ref="AG960:AI960"/>
    <mergeCell ref="AJ960:AL960"/>
    <mergeCell ref="AG961:AI961"/>
    <mergeCell ref="AJ961:AL961"/>
    <mergeCell ref="AG962:AI962"/>
    <mergeCell ref="AJ962:AL962"/>
    <mergeCell ref="AG963:AI963"/>
    <mergeCell ref="AJ963:AL963"/>
    <mergeCell ref="AG964:AI964"/>
    <mergeCell ref="AJ964:AL964"/>
    <mergeCell ref="AD966:AN966"/>
    <mergeCell ref="AD968:AE968"/>
    <mergeCell ref="AG970:AI970"/>
    <mergeCell ref="AJ970:AL970"/>
    <mergeCell ref="AG971:AI971"/>
    <mergeCell ref="AJ971:AL971"/>
    <mergeCell ref="AG972:AI972"/>
    <mergeCell ref="AJ972:AL972"/>
    <mergeCell ref="AG973:AI973"/>
    <mergeCell ref="AJ973:AL973"/>
    <mergeCell ref="AG974:AI974"/>
    <mergeCell ref="AJ974:AL974"/>
    <mergeCell ref="AG975:AI975"/>
    <mergeCell ref="AJ975:AL975"/>
    <mergeCell ref="AG976:AI976"/>
    <mergeCell ref="AJ976:AL976"/>
    <mergeCell ref="AD978:AN978"/>
    <mergeCell ref="AD980:AE980"/>
    <mergeCell ref="AG982:AI982"/>
    <mergeCell ref="AJ982:AL982"/>
    <mergeCell ref="AG983:AI983"/>
    <mergeCell ref="AJ983:AL983"/>
    <mergeCell ref="AG984:AI984"/>
    <mergeCell ref="AJ984:AL984"/>
    <mergeCell ref="AG985:AI985"/>
    <mergeCell ref="AJ985:AL985"/>
    <mergeCell ref="AG986:AI986"/>
    <mergeCell ref="AJ986:AL986"/>
    <mergeCell ref="AG987:AI987"/>
    <mergeCell ref="AJ987:AL987"/>
    <mergeCell ref="AG988:AI988"/>
    <mergeCell ref="AJ988:AL988"/>
    <mergeCell ref="AD990:AN990"/>
    <mergeCell ref="AD992:AE992"/>
    <mergeCell ref="AG994:AI994"/>
    <mergeCell ref="AJ994:AL994"/>
    <mergeCell ref="AG995:AI995"/>
    <mergeCell ref="AJ995:AL995"/>
    <mergeCell ref="AG996:AI996"/>
    <mergeCell ref="AJ996:AL996"/>
    <mergeCell ref="AG997:AI997"/>
    <mergeCell ref="AJ997:AL997"/>
    <mergeCell ref="AG998:AI998"/>
    <mergeCell ref="AJ998:AL998"/>
    <mergeCell ref="AG999:AI999"/>
    <mergeCell ref="AJ999:AL999"/>
    <mergeCell ref="AG1000:AI1000"/>
    <mergeCell ref="AJ1000:AL1000"/>
    <mergeCell ref="AD1002:AN1002"/>
    <mergeCell ref="AD1004:AE1004"/>
    <mergeCell ref="AG1006:AI1006"/>
    <mergeCell ref="AJ1006:AL1006"/>
    <mergeCell ref="AG1007:AI1007"/>
    <mergeCell ref="AJ1007:AL1007"/>
    <mergeCell ref="AG1008:AI1008"/>
    <mergeCell ref="AJ1008:AL1008"/>
    <mergeCell ref="AG1009:AI1009"/>
    <mergeCell ref="AJ1009:AL1009"/>
    <mergeCell ref="AG1010:AI1010"/>
    <mergeCell ref="AJ1010:AL1010"/>
    <mergeCell ref="AG1011:AI1011"/>
    <mergeCell ref="AJ1011:AL1011"/>
    <mergeCell ref="AG1012:AI1012"/>
    <mergeCell ref="AJ1012:AL1012"/>
    <mergeCell ref="AD1014:AN1014"/>
    <mergeCell ref="AD1016:AE1016"/>
    <mergeCell ref="AG1018:AI1018"/>
    <mergeCell ref="AJ1018:AL1018"/>
    <mergeCell ref="AG1019:AI1019"/>
    <mergeCell ref="AJ1019:AL1019"/>
    <mergeCell ref="AG1020:AI1020"/>
    <mergeCell ref="AJ1020:AL1020"/>
    <mergeCell ref="AG1021:AI1021"/>
    <mergeCell ref="AJ1021:AL1021"/>
    <mergeCell ref="AG1022:AI1022"/>
    <mergeCell ref="AJ1022:AL1022"/>
    <mergeCell ref="AG1023:AI1023"/>
    <mergeCell ref="AJ1023:AL1023"/>
    <mergeCell ref="AG1024:AI1024"/>
    <mergeCell ref="AJ1024:AL1024"/>
    <mergeCell ref="AD1026:AN1026"/>
    <mergeCell ref="AD1028:AE1028"/>
    <mergeCell ref="AG1030:AI1030"/>
    <mergeCell ref="AJ1030:AL1030"/>
    <mergeCell ref="AG1031:AI1031"/>
    <mergeCell ref="AJ1031:AL1031"/>
    <mergeCell ref="AG1032:AI1032"/>
    <mergeCell ref="AJ1032:AL1032"/>
    <mergeCell ref="AG1033:AI1033"/>
    <mergeCell ref="AJ1033:AL1033"/>
    <mergeCell ref="AG1034:AI1034"/>
    <mergeCell ref="AJ1034:AL1034"/>
    <mergeCell ref="AG1035:AI1035"/>
    <mergeCell ref="AJ1035:AL1035"/>
    <mergeCell ref="AG1036:AI1036"/>
    <mergeCell ref="AJ1036:AL1036"/>
    <mergeCell ref="AD1038:AN1038"/>
    <mergeCell ref="AD1040:AE1040"/>
    <mergeCell ref="AG1042:AI1042"/>
    <mergeCell ref="AJ1042:AL1042"/>
    <mergeCell ref="AG1043:AI1043"/>
    <mergeCell ref="AJ1043:AL1043"/>
    <mergeCell ref="AG1044:AI1044"/>
    <mergeCell ref="AJ1044:AL1044"/>
    <mergeCell ref="AG1045:AI1045"/>
    <mergeCell ref="AJ1045:AL1045"/>
    <mergeCell ref="AG1046:AI1046"/>
    <mergeCell ref="AJ1046:AL1046"/>
    <mergeCell ref="AG1047:AI1047"/>
    <mergeCell ref="AJ1047:AL1047"/>
    <mergeCell ref="AG1048:AI1048"/>
    <mergeCell ref="AJ1048:AL1048"/>
    <mergeCell ref="AD1050:AN1050"/>
    <mergeCell ref="AD1052:AE1052"/>
    <mergeCell ref="AG1054:AI1054"/>
    <mergeCell ref="AJ1054:AL1054"/>
    <mergeCell ref="AG1055:AI1055"/>
    <mergeCell ref="AJ1055:AL1055"/>
    <mergeCell ref="AG1056:AI1056"/>
    <mergeCell ref="AJ1056:AL1056"/>
    <mergeCell ref="AG1057:AI1057"/>
    <mergeCell ref="AJ1057:AL1057"/>
    <mergeCell ref="AG1058:AI1058"/>
    <mergeCell ref="AJ1058:AL1058"/>
    <mergeCell ref="AG1059:AI1059"/>
    <mergeCell ref="AJ1059:AL1059"/>
    <mergeCell ref="AG1060:AI1060"/>
    <mergeCell ref="AJ1060:AL1060"/>
    <mergeCell ref="AD1062:AN1062"/>
    <mergeCell ref="AD1064:AE1064"/>
    <mergeCell ref="AG1066:AI1066"/>
    <mergeCell ref="AJ1066:AL1066"/>
    <mergeCell ref="AG1067:AI1067"/>
    <mergeCell ref="AJ1067:AL1067"/>
    <mergeCell ref="AG1068:AI1068"/>
    <mergeCell ref="AJ1068:AL1068"/>
    <mergeCell ref="AG1069:AI1069"/>
    <mergeCell ref="AJ1069:AL1069"/>
    <mergeCell ref="AG1070:AI1070"/>
    <mergeCell ref="AJ1070:AL1070"/>
    <mergeCell ref="AG1071:AI1071"/>
    <mergeCell ref="AJ1071:AL1071"/>
    <mergeCell ref="AG1072:AI1072"/>
    <mergeCell ref="AJ1072:AL1072"/>
    <mergeCell ref="AD1074:AN1074"/>
    <mergeCell ref="AD1076:AE1076"/>
    <mergeCell ref="AG1078:AI1078"/>
    <mergeCell ref="AJ1078:AL1078"/>
    <mergeCell ref="AG1079:AI1079"/>
    <mergeCell ref="AJ1079:AL1079"/>
    <mergeCell ref="AG1080:AI1080"/>
    <mergeCell ref="AJ1080:AL1080"/>
    <mergeCell ref="AG1081:AI1081"/>
    <mergeCell ref="AJ1081:AL1081"/>
    <mergeCell ref="AG1082:AI1082"/>
    <mergeCell ref="AJ1082:AL1082"/>
    <mergeCell ref="AG1083:AI1083"/>
    <mergeCell ref="AJ1083:AL1083"/>
    <mergeCell ref="AG1084:AI1084"/>
    <mergeCell ref="AJ1084:AL1084"/>
    <mergeCell ref="AD1086:AN1086"/>
    <mergeCell ref="AD1088:AE1088"/>
    <mergeCell ref="AG1090:AI1090"/>
    <mergeCell ref="AJ1090:AL1090"/>
    <mergeCell ref="AG1091:AI1091"/>
    <mergeCell ref="AJ1091:AL1091"/>
    <mergeCell ref="AG1092:AI1092"/>
    <mergeCell ref="AJ1092:AL1092"/>
    <mergeCell ref="AG1093:AI1093"/>
    <mergeCell ref="AJ1093:AL1093"/>
    <mergeCell ref="AG1094:AI1094"/>
    <mergeCell ref="AJ1094:AL1094"/>
    <mergeCell ref="AG1095:AI1095"/>
    <mergeCell ref="AJ1095:AL1095"/>
    <mergeCell ref="AG1096:AI1096"/>
    <mergeCell ref="AJ1096:AL1096"/>
    <mergeCell ref="AD1098:AN1098"/>
    <mergeCell ref="AD1100:AE1100"/>
    <mergeCell ref="AG1102:AI1102"/>
    <mergeCell ref="AJ1102:AL1102"/>
    <mergeCell ref="AG1103:AI1103"/>
    <mergeCell ref="AJ1103:AL1103"/>
    <mergeCell ref="AG1104:AI1104"/>
    <mergeCell ref="AJ1104:AL1104"/>
    <mergeCell ref="AG1105:AI1105"/>
    <mergeCell ref="AJ1105:AL1105"/>
    <mergeCell ref="AG1106:AI1106"/>
    <mergeCell ref="AJ1106:AL1106"/>
    <mergeCell ref="AG1107:AI1107"/>
    <mergeCell ref="AJ1107:AL1107"/>
    <mergeCell ref="AG1108:AI1108"/>
    <mergeCell ref="AJ1108:AL1108"/>
    <mergeCell ref="AD1110:AN1110"/>
    <mergeCell ref="AD1112:AE1112"/>
    <mergeCell ref="AG1114:AI1114"/>
    <mergeCell ref="AJ1114:AL1114"/>
    <mergeCell ref="AG1115:AI1115"/>
    <mergeCell ref="AJ1115:AL1115"/>
    <mergeCell ref="AG1116:AI1116"/>
    <mergeCell ref="AJ1116:AL1116"/>
    <mergeCell ref="AG1117:AI1117"/>
    <mergeCell ref="AJ1117:AL1117"/>
    <mergeCell ref="AG1118:AI1118"/>
    <mergeCell ref="AJ1118:AL1118"/>
    <mergeCell ref="AG1119:AI1119"/>
    <mergeCell ref="AJ1119:AL1119"/>
    <mergeCell ref="AG1120:AI1120"/>
    <mergeCell ref="AJ1120:AL1120"/>
    <mergeCell ref="AD1122:AN1122"/>
    <mergeCell ref="AD1124:AE1124"/>
    <mergeCell ref="AG1126:AI1126"/>
    <mergeCell ref="AJ1126:AL1126"/>
    <mergeCell ref="AG1127:AI1127"/>
    <mergeCell ref="AJ1127:AL1127"/>
    <mergeCell ref="AG1128:AI1128"/>
    <mergeCell ref="AJ1128:AL1128"/>
    <mergeCell ref="AG1129:AI1129"/>
    <mergeCell ref="AJ1129:AL1129"/>
    <mergeCell ref="AG1130:AI1130"/>
    <mergeCell ref="AJ1130:AL1130"/>
    <mergeCell ref="AG1131:AI1131"/>
    <mergeCell ref="AJ1131:AL1131"/>
    <mergeCell ref="AG1132:AI1132"/>
    <mergeCell ref="AJ1132:AL1132"/>
    <mergeCell ref="AD1134:AN1134"/>
    <mergeCell ref="AD1136:AE1136"/>
    <mergeCell ref="AG1138:AI1138"/>
    <mergeCell ref="AJ1138:AL1138"/>
    <mergeCell ref="AG1139:AI1139"/>
    <mergeCell ref="AJ1139:AL1139"/>
    <mergeCell ref="AG1140:AI1140"/>
    <mergeCell ref="AJ1140:AL1140"/>
    <mergeCell ref="AG1141:AI1141"/>
    <mergeCell ref="AJ1141:AL1141"/>
    <mergeCell ref="AG1142:AI1142"/>
    <mergeCell ref="AJ1142:AL1142"/>
    <mergeCell ref="AG1143:AI1143"/>
    <mergeCell ref="AJ1143:AL1143"/>
    <mergeCell ref="AG1144:AI1144"/>
    <mergeCell ref="AJ1144:AL1144"/>
    <mergeCell ref="AD1146:AN1146"/>
    <mergeCell ref="AD1148:AE1148"/>
    <mergeCell ref="AG1150:AI1150"/>
    <mergeCell ref="AJ1150:AL1150"/>
    <mergeCell ref="AG1151:AI1151"/>
    <mergeCell ref="AJ1151:AL1151"/>
    <mergeCell ref="AG1152:AI1152"/>
    <mergeCell ref="AJ1152:AL1152"/>
    <mergeCell ref="AG1153:AI1153"/>
    <mergeCell ref="AJ1153:AL1153"/>
    <mergeCell ref="AG1154:AI1154"/>
    <mergeCell ref="AJ1154:AL1154"/>
    <mergeCell ref="AG1155:AI1155"/>
    <mergeCell ref="AJ1155:AL1155"/>
    <mergeCell ref="AG1156:AI1156"/>
    <mergeCell ref="AJ1156:AL1156"/>
    <mergeCell ref="AD1158:AN1158"/>
    <mergeCell ref="AD1160:AE1160"/>
    <mergeCell ref="AG1162:AI1162"/>
    <mergeCell ref="AJ1162:AL1162"/>
    <mergeCell ref="AG1163:AI1163"/>
    <mergeCell ref="AJ1163:AL1163"/>
    <mergeCell ref="AG1164:AI1164"/>
    <mergeCell ref="AJ1164:AL1164"/>
    <mergeCell ref="AG1165:AI1165"/>
    <mergeCell ref="AJ1165:AL1165"/>
    <mergeCell ref="AG1166:AI1166"/>
    <mergeCell ref="AJ1166:AL1166"/>
    <mergeCell ref="AG1167:AI1167"/>
    <mergeCell ref="AJ1167:AL1167"/>
    <mergeCell ref="AG1168:AI1168"/>
    <mergeCell ref="AJ1168:AL1168"/>
    <mergeCell ref="AD1170:AN1170"/>
    <mergeCell ref="AD1172:AE1172"/>
    <mergeCell ref="AG1174:AI1174"/>
    <mergeCell ref="AJ1174:AL1174"/>
    <mergeCell ref="AG1175:AI1175"/>
    <mergeCell ref="AJ1175:AL1175"/>
    <mergeCell ref="AG1176:AI1176"/>
    <mergeCell ref="AJ1176:AL1176"/>
    <mergeCell ref="AG1177:AI1177"/>
    <mergeCell ref="AJ1177:AL1177"/>
    <mergeCell ref="AG1178:AI1178"/>
    <mergeCell ref="AJ1178:AL1178"/>
    <mergeCell ref="AG1179:AI1179"/>
    <mergeCell ref="AJ1179:AL1179"/>
    <mergeCell ref="AG1180:AI1180"/>
    <mergeCell ref="AJ1180:AL1180"/>
    <mergeCell ref="AD1182:AN1182"/>
    <mergeCell ref="AD1184:AE1184"/>
    <mergeCell ref="AG1186:AI1186"/>
    <mergeCell ref="AJ1186:AL1186"/>
    <mergeCell ref="AG1187:AI1187"/>
    <mergeCell ref="AJ1187:AL1187"/>
    <mergeCell ref="AG1188:AI1188"/>
    <mergeCell ref="AJ1188:AL1188"/>
    <mergeCell ref="AG1189:AI1189"/>
    <mergeCell ref="AJ1189:AL1189"/>
    <mergeCell ref="AG1190:AI1190"/>
    <mergeCell ref="AJ1190:AL1190"/>
    <mergeCell ref="AG1191:AI1191"/>
    <mergeCell ref="AJ1191:AL1191"/>
    <mergeCell ref="AG1192:AI1192"/>
    <mergeCell ref="AJ1192:AL1192"/>
    <mergeCell ref="AD1194:AN1194"/>
    <mergeCell ref="AD1196:AE1196"/>
    <mergeCell ref="AG1198:AI1198"/>
    <mergeCell ref="AJ1198:AL1198"/>
    <mergeCell ref="AG1199:AI1199"/>
    <mergeCell ref="AJ1199:AL1199"/>
    <mergeCell ref="AG1200:AI1200"/>
    <mergeCell ref="AJ1200:AL1200"/>
    <mergeCell ref="AG1201:AI1201"/>
    <mergeCell ref="AJ1201:AL1201"/>
    <mergeCell ref="AG1202:AI1202"/>
    <mergeCell ref="AJ1202:AL1202"/>
    <mergeCell ref="AG1203:AI1203"/>
    <mergeCell ref="AJ1203:AL1203"/>
    <mergeCell ref="AG1204:AI1204"/>
    <mergeCell ref="AJ1204:AL1204"/>
    <mergeCell ref="AD1206:AN1206"/>
    <mergeCell ref="AD1208:AE1208"/>
    <mergeCell ref="AG1210:AI1210"/>
    <mergeCell ref="AJ1210:AL1210"/>
    <mergeCell ref="AG1211:AI1211"/>
    <mergeCell ref="AJ1211:AL1211"/>
    <mergeCell ref="AG1212:AI1212"/>
    <mergeCell ref="AJ1212:AL1212"/>
    <mergeCell ref="AG1213:AI1213"/>
    <mergeCell ref="AJ1213:AL1213"/>
    <mergeCell ref="AG1214:AI1214"/>
    <mergeCell ref="AJ1214:AL1214"/>
    <mergeCell ref="AG1215:AI1215"/>
    <mergeCell ref="AJ1215:AL1215"/>
    <mergeCell ref="AG1216:AI1216"/>
    <mergeCell ref="AJ1216:AL1216"/>
    <mergeCell ref="AD1218:AN1218"/>
    <mergeCell ref="AD1220:AE1220"/>
    <mergeCell ref="AG1222:AI1222"/>
    <mergeCell ref="AJ1222:AL1222"/>
    <mergeCell ref="AG1223:AI1223"/>
    <mergeCell ref="AJ1223:AL1223"/>
    <mergeCell ref="AG1224:AI1224"/>
    <mergeCell ref="AJ1224:AL1224"/>
    <mergeCell ref="AG1225:AI1225"/>
    <mergeCell ref="AJ1225:AL1225"/>
    <mergeCell ref="AG1226:AI1226"/>
    <mergeCell ref="AJ1226:AL1226"/>
    <mergeCell ref="AG1227:AI1227"/>
    <mergeCell ref="AJ1227:AL1227"/>
    <mergeCell ref="AG1228:AI1228"/>
    <mergeCell ref="AJ1228:AL1228"/>
    <mergeCell ref="AD1230:AN1230"/>
    <mergeCell ref="AD1232:AE1232"/>
    <mergeCell ref="AG1234:AI1234"/>
    <mergeCell ref="AJ1234:AL1234"/>
    <mergeCell ref="AG1235:AI1235"/>
    <mergeCell ref="AJ1235:AL1235"/>
    <mergeCell ref="AG1236:AI1236"/>
    <mergeCell ref="AJ1236:AL1236"/>
    <mergeCell ref="AG1237:AI1237"/>
    <mergeCell ref="AJ1237:AL1237"/>
    <mergeCell ref="R55:R57"/>
    <mergeCell ref="S55:S57"/>
    <mergeCell ref="T55:T57"/>
    <mergeCell ref="U55:U57"/>
    <mergeCell ref="V55:V57"/>
    <mergeCell ref="W55:W57"/>
    <mergeCell ref="X55:X57"/>
    <mergeCell ref="R67:R69"/>
    <mergeCell ref="S67:S69"/>
    <mergeCell ref="T67:T69"/>
    <mergeCell ref="U67:U69"/>
    <mergeCell ref="V67:V69"/>
    <mergeCell ref="W67:W69"/>
    <mergeCell ref="X67:X69"/>
    <mergeCell ref="R79:R81"/>
    <mergeCell ref="S79:S81"/>
    <mergeCell ref="T79:T81"/>
    <mergeCell ref="U79:U81"/>
    <mergeCell ref="V79:V81"/>
    <mergeCell ref="W79:W81"/>
    <mergeCell ref="X79:X81"/>
    <mergeCell ref="W91:W93"/>
    <mergeCell ref="X91:X93"/>
    <mergeCell ref="R103:R105"/>
    <mergeCell ref="S103:S105"/>
    <mergeCell ref="T103:T105"/>
    <mergeCell ref="U103:U105"/>
    <mergeCell ref="V103:V105"/>
    <mergeCell ref="W103:W105"/>
    <mergeCell ref="X103:X105"/>
    <mergeCell ref="R115:R117"/>
    <mergeCell ref="S115:S117"/>
    <mergeCell ref="T115:T117"/>
    <mergeCell ref="U115:U117"/>
    <mergeCell ref="V115:V117"/>
    <mergeCell ref="W115:W117"/>
    <mergeCell ref="X115:X117"/>
    <mergeCell ref="R127:R129"/>
    <mergeCell ref="S127:S129"/>
    <mergeCell ref="T127:T129"/>
    <mergeCell ref="U127:U129"/>
    <mergeCell ref="V127:V129"/>
    <mergeCell ref="W127:W129"/>
    <mergeCell ref="X127:X129"/>
    <mergeCell ref="R91:R93"/>
    <mergeCell ref="S91:S93"/>
    <mergeCell ref="T91:T93"/>
    <mergeCell ref="U91:U93"/>
    <mergeCell ref="V91:V93"/>
    <mergeCell ref="R139:R141"/>
    <mergeCell ref="S139:S141"/>
    <mergeCell ref="T139:T141"/>
    <mergeCell ref="U139:U141"/>
    <mergeCell ref="V139:V141"/>
    <mergeCell ref="W139:W141"/>
    <mergeCell ref="X139:X141"/>
    <mergeCell ref="R151:R153"/>
    <mergeCell ref="S151:S153"/>
    <mergeCell ref="T151:T153"/>
    <mergeCell ref="U151:U153"/>
    <mergeCell ref="V151:V153"/>
    <mergeCell ref="W151:W153"/>
    <mergeCell ref="X151:X153"/>
    <mergeCell ref="R163:R165"/>
    <mergeCell ref="S163:S165"/>
    <mergeCell ref="T163:T165"/>
    <mergeCell ref="U163:U165"/>
    <mergeCell ref="V163:V165"/>
    <mergeCell ref="W163:W165"/>
    <mergeCell ref="X163:X165"/>
    <mergeCell ref="R175:R177"/>
    <mergeCell ref="S175:S177"/>
    <mergeCell ref="T175:T177"/>
    <mergeCell ref="U175:U177"/>
    <mergeCell ref="V175:V177"/>
    <mergeCell ref="W175:W177"/>
    <mergeCell ref="X175:X177"/>
    <mergeCell ref="R187:R189"/>
    <mergeCell ref="S187:S189"/>
    <mergeCell ref="T187:T189"/>
    <mergeCell ref="U187:U189"/>
    <mergeCell ref="V187:V189"/>
    <mergeCell ref="W187:W189"/>
    <mergeCell ref="X187:X189"/>
    <mergeCell ref="R199:R201"/>
    <mergeCell ref="S199:S201"/>
    <mergeCell ref="T199:T201"/>
    <mergeCell ref="U199:U201"/>
    <mergeCell ref="V199:V201"/>
    <mergeCell ref="W199:W201"/>
    <mergeCell ref="X199:X201"/>
    <mergeCell ref="R211:R213"/>
    <mergeCell ref="S211:S213"/>
    <mergeCell ref="T211:T213"/>
    <mergeCell ref="U211:U213"/>
    <mergeCell ref="V211:V213"/>
    <mergeCell ref="W211:W213"/>
    <mergeCell ref="X211:X213"/>
    <mergeCell ref="R223:R225"/>
    <mergeCell ref="S223:S225"/>
    <mergeCell ref="T223:T225"/>
    <mergeCell ref="U223:U225"/>
    <mergeCell ref="V223:V225"/>
    <mergeCell ref="W223:W225"/>
    <mergeCell ref="X223:X225"/>
    <mergeCell ref="R235:R237"/>
    <mergeCell ref="S235:S237"/>
    <mergeCell ref="T235:T237"/>
    <mergeCell ref="U235:U237"/>
    <mergeCell ref="V235:V237"/>
    <mergeCell ref="W235:W237"/>
    <mergeCell ref="X235:X237"/>
    <mergeCell ref="R247:R249"/>
    <mergeCell ref="S247:S249"/>
    <mergeCell ref="T247:T249"/>
    <mergeCell ref="U247:U249"/>
    <mergeCell ref="V247:V249"/>
    <mergeCell ref="W247:W249"/>
    <mergeCell ref="X247:X249"/>
    <mergeCell ref="R259:R261"/>
    <mergeCell ref="S259:S261"/>
    <mergeCell ref="T259:T261"/>
    <mergeCell ref="U259:U261"/>
    <mergeCell ref="V259:V261"/>
    <mergeCell ref="W259:W261"/>
    <mergeCell ref="X259:X261"/>
    <mergeCell ref="R271:R273"/>
    <mergeCell ref="S271:S273"/>
    <mergeCell ref="T271:T273"/>
    <mergeCell ref="U271:U273"/>
    <mergeCell ref="V271:V273"/>
    <mergeCell ref="W271:W273"/>
    <mergeCell ref="X271:X273"/>
    <mergeCell ref="R283:R285"/>
    <mergeCell ref="S283:S285"/>
    <mergeCell ref="T283:T285"/>
    <mergeCell ref="U283:U285"/>
    <mergeCell ref="V283:V285"/>
    <mergeCell ref="W283:W285"/>
    <mergeCell ref="X283:X285"/>
    <mergeCell ref="R295:R297"/>
    <mergeCell ref="S295:S297"/>
    <mergeCell ref="T295:T297"/>
    <mergeCell ref="U295:U297"/>
    <mergeCell ref="V295:V297"/>
    <mergeCell ref="W295:W297"/>
    <mergeCell ref="X295:X297"/>
    <mergeCell ref="R307:R309"/>
    <mergeCell ref="S307:S309"/>
    <mergeCell ref="T307:T309"/>
    <mergeCell ref="U307:U309"/>
    <mergeCell ref="V307:V309"/>
    <mergeCell ref="W307:W309"/>
    <mergeCell ref="X307:X309"/>
    <mergeCell ref="R319:R321"/>
    <mergeCell ref="S319:S321"/>
    <mergeCell ref="T319:T321"/>
    <mergeCell ref="U319:U321"/>
    <mergeCell ref="V319:V321"/>
    <mergeCell ref="W319:W321"/>
    <mergeCell ref="X319:X321"/>
    <mergeCell ref="R331:R333"/>
    <mergeCell ref="S331:S333"/>
    <mergeCell ref="T331:T333"/>
    <mergeCell ref="U331:U333"/>
    <mergeCell ref="V331:V333"/>
    <mergeCell ref="W331:W333"/>
    <mergeCell ref="X331:X333"/>
    <mergeCell ref="R343:R345"/>
    <mergeCell ref="S343:S345"/>
    <mergeCell ref="T343:T345"/>
    <mergeCell ref="U343:U345"/>
    <mergeCell ref="V343:V345"/>
    <mergeCell ref="W343:W345"/>
    <mergeCell ref="X343:X345"/>
    <mergeCell ref="R355:R357"/>
    <mergeCell ref="S355:S357"/>
    <mergeCell ref="T355:T357"/>
    <mergeCell ref="U355:U357"/>
    <mergeCell ref="V355:V357"/>
    <mergeCell ref="W355:W357"/>
    <mergeCell ref="X355:X357"/>
    <mergeCell ref="R367:R369"/>
    <mergeCell ref="S367:S369"/>
    <mergeCell ref="T367:T369"/>
    <mergeCell ref="U367:U369"/>
    <mergeCell ref="V367:V369"/>
    <mergeCell ref="W367:W369"/>
    <mergeCell ref="X367:X369"/>
    <mergeCell ref="R379:R381"/>
    <mergeCell ref="S379:S381"/>
    <mergeCell ref="T379:T381"/>
    <mergeCell ref="U379:U381"/>
    <mergeCell ref="V379:V381"/>
    <mergeCell ref="W379:W381"/>
    <mergeCell ref="X379:X381"/>
    <mergeCell ref="R391:R393"/>
    <mergeCell ref="S391:S393"/>
    <mergeCell ref="T391:T393"/>
    <mergeCell ref="U391:U393"/>
    <mergeCell ref="V391:V393"/>
    <mergeCell ref="W391:W393"/>
    <mergeCell ref="X391:X393"/>
    <mergeCell ref="R403:R405"/>
    <mergeCell ref="S403:S405"/>
    <mergeCell ref="T403:T405"/>
    <mergeCell ref="U403:U405"/>
    <mergeCell ref="V403:V405"/>
    <mergeCell ref="W403:W405"/>
    <mergeCell ref="X403:X405"/>
    <mergeCell ref="R415:R417"/>
    <mergeCell ref="S415:S417"/>
    <mergeCell ref="T415:T417"/>
    <mergeCell ref="U415:U417"/>
    <mergeCell ref="V415:V417"/>
    <mergeCell ref="W415:W417"/>
    <mergeCell ref="X415:X417"/>
    <mergeCell ref="R427:R429"/>
    <mergeCell ref="S427:S429"/>
    <mergeCell ref="T427:T429"/>
    <mergeCell ref="U427:U429"/>
    <mergeCell ref="V427:V429"/>
    <mergeCell ref="W427:W429"/>
    <mergeCell ref="X427:X429"/>
    <mergeCell ref="R439:R441"/>
    <mergeCell ref="S439:S441"/>
    <mergeCell ref="T439:T441"/>
    <mergeCell ref="U439:U441"/>
    <mergeCell ref="V439:V441"/>
    <mergeCell ref="W439:W441"/>
    <mergeCell ref="X439:X441"/>
    <mergeCell ref="R451:R453"/>
    <mergeCell ref="S451:S453"/>
    <mergeCell ref="T451:T453"/>
    <mergeCell ref="U451:U453"/>
    <mergeCell ref="V451:V453"/>
    <mergeCell ref="W451:W453"/>
    <mergeCell ref="X451:X453"/>
    <mergeCell ref="R463:R465"/>
    <mergeCell ref="S463:S465"/>
    <mergeCell ref="T463:T465"/>
    <mergeCell ref="U463:U465"/>
    <mergeCell ref="V463:V465"/>
    <mergeCell ref="W463:W465"/>
    <mergeCell ref="X463:X465"/>
    <mergeCell ref="R475:R477"/>
    <mergeCell ref="S475:S477"/>
    <mergeCell ref="T475:T477"/>
    <mergeCell ref="U475:U477"/>
    <mergeCell ref="V475:V477"/>
    <mergeCell ref="W475:W477"/>
    <mergeCell ref="X475:X477"/>
    <mergeCell ref="R487:R489"/>
    <mergeCell ref="S487:S489"/>
    <mergeCell ref="T487:T489"/>
    <mergeCell ref="U487:U489"/>
    <mergeCell ref="V487:V489"/>
    <mergeCell ref="W487:W489"/>
    <mergeCell ref="X487:X489"/>
    <mergeCell ref="R499:R501"/>
    <mergeCell ref="S499:S501"/>
    <mergeCell ref="T499:T501"/>
    <mergeCell ref="U499:U501"/>
    <mergeCell ref="V499:V501"/>
    <mergeCell ref="W499:W501"/>
    <mergeCell ref="X499:X501"/>
    <mergeCell ref="R511:R513"/>
    <mergeCell ref="S511:S513"/>
    <mergeCell ref="T511:T513"/>
    <mergeCell ref="U511:U513"/>
    <mergeCell ref="V511:V513"/>
    <mergeCell ref="W511:W513"/>
    <mergeCell ref="X511:X513"/>
    <mergeCell ref="R523:R525"/>
    <mergeCell ref="S523:S525"/>
    <mergeCell ref="T523:T525"/>
    <mergeCell ref="U523:U525"/>
    <mergeCell ref="V523:V525"/>
    <mergeCell ref="W523:W525"/>
    <mergeCell ref="X523:X525"/>
    <mergeCell ref="R535:R537"/>
    <mergeCell ref="S535:S537"/>
    <mergeCell ref="T535:T537"/>
    <mergeCell ref="U535:U537"/>
    <mergeCell ref="V535:V537"/>
    <mergeCell ref="W535:W537"/>
    <mergeCell ref="X535:X537"/>
    <mergeCell ref="R547:R549"/>
    <mergeCell ref="S547:S549"/>
    <mergeCell ref="T547:T549"/>
    <mergeCell ref="U547:U549"/>
    <mergeCell ref="V547:V549"/>
    <mergeCell ref="W547:W549"/>
    <mergeCell ref="X547:X549"/>
    <mergeCell ref="R559:R561"/>
    <mergeCell ref="S559:S561"/>
    <mergeCell ref="T559:T561"/>
    <mergeCell ref="U559:U561"/>
    <mergeCell ref="V559:V561"/>
    <mergeCell ref="W559:W561"/>
    <mergeCell ref="X559:X561"/>
    <mergeCell ref="R571:R573"/>
    <mergeCell ref="S571:S573"/>
    <mergeCell ref="T571:T573"/>
    <mergeCell ref="U571:U573"/>
    <mergeCell ref="V571:V573"/>
    <mergeCell ref="W571:W573"/>
    <mergeCell ref="X571:X573"/>
    <mergeCell ref="R583:R585"/>
    <mergeCell ref="S583:S585"/>
    <mergeCell ref="T583:T585"/>
    <mergeCell ref="U583:U585"/>
    <mergeCell ref="V583:V585"/>
    <mergeCell ref="W583:W585"/>
    <mergeCell ref="X583:X585"/>
    <mergeCell ref="R595:R597"/>
    <mergeCell ref="S595:S597"/>
    <mergeCell ref="T595:T597"/>
    <mergeCell ref="U595:U597"/>
    <mergeCell ref="V595:V597"/>
    <mergeCell ref="W595:W597"/>
    <mergeCell ref="X595:X597"/>
    <mergeCell ref="R607:R609"/>
    <mergeCell ref="S607:S609"/>
    <mergeCell ref="T607:T609"/>
    <mergeCell ref="U607:U609"/>
    <mergeCell ref="V607:V609"/>
    <mergeCell ref="W607:W609"/>
    <mergeCell ref="X607:X609"/>
    <mergeCell ref="R619:R621"/>
    <mergeCell ref="S619:S621"/>
    <mergeCell ref="T619:T621"/>
    <mergeCell ref="U619:U621"/>
    <mergeCell ref="V619:V621"/>
    <mergeCell ref="W619:W621"/>
    <mergeCell ref="X619:X621"/>
    <mergeCell ref="R631:R633"/>
    <mergeCell ref="S631:S633"/>
    <mergeCell ref="T631:T633"/>
    <mergeCell ref="U631:U633"/>
    <mergeCell ref="V631:V633"/>
    <mergeCell ref="W631:W633"/>
    <mergeCell ref="X631:X633"/>
    <mergeCell ref="R643:R645"/>
    <mergeCell ref="S643:S645"/>
    <mergeCell ref="T643:T645"/>
    <mergeCell ref="U643:U645"/>
    <mergeCell ref="V643:V645"/>
    <mergeCell ref="W643:W645"/>
    <mergeCell ref="X643:X645"/>
    <mergeCell ref="R655:R657"/>
    <mergeCell ref="S655:S657"/>
    <mergeCell ref="T655:T657"/>
    <mergeCell ref="U655:U657"/>
    <mergeCell ref="V655:V657"/>
    <mergeCell ref="W655:W657"/>
    <mergeCell ref="X655:X657"/>
    <mergeCell ref="R667:R669"/>
    <mergeCell ref="S667:S669"/>
    <mergeCell ref="T667:T669"/>
    <mergeCell ref="U667:U669"/>
    <mergeCell ref="V667:V669"/>
    <mergeCell ref="W667:W669"/>
    <mergeCell ref="X667:X669"/>
    <mergeCell ref="R679:R681"/>
    <mergeCell ref="S679:S681"/>
    <mergeCell ref="T679:T681"/>
    <mergeCell ref="U679:U681"/>
    <mergeCell ref="V679:V681"/>
    <mergeCell ref="W679:W681"/>
    <mergeCell ref="X679:X681"/>
    <mergeCell ref="R691:R693"/>
    <mergeCell ref="S691:S693"/>
    <mergeCell ref="T691:T693"/>
    <mergeCell ref="U691:U693"/>
    <mergeCell ref="V691:V693"/>
    <mergeCell ref="W691:W693"/>
    <mergeCell ref="X691:X693"/>
    <mergeCell ref="R703:R705"/>
    <mergeCell ref="S703:S705"/>
    <mergeCell ref="T703:T705"/>
    <mergeCell ref="U703:U705"/>
    <mergeCell ref="V703:V705"/>
    <mergeCell ref="W703:W705"/>
    <mergeCell ref="X703:X705"/>
    <mergeCell ref="R715:R717"/>
    <mergeCell ref="S715:S717"/>
    <mergeCell ref="T715:T717"/>
    <mergeCell ref="U715:U717"/>
    <mergeCell ref="V715:V717"/>
    <mergeCell ref="W715:W717"/>
    <mergeCell ref="X715:X717"/>
    <mergeCell ref="R727:R729"/>
    <mergeCell ref="S727:S729"/>
    <mergeCell ref="T727:T729"/>
    <mergeCell ref="U727:U729"/>
    <mergeCell ref="V727:V729"/>
    <mergeCell ref="W727:W729"/>
    <mergeCell ref="X727:X729"/>
    <mergeCell ref="R739:R741"/>
    <mergeCell ref="S739:S741"/>
    <mergeCell ref="T739:T741"/>
    <mergeCell ref="U739:U741"/>
    <mergeCell ref="V739:V741"/>
    <mergeCell ref="W739:W741"/>
    <mergeCell ref="X739:X741"/>
    <mergeCell ref="R751:R753"/>
    <mergeCell ref="S751:S753"/>
    <mergeCell ref="T751:T753"/>
    <mergeCell ref="U751:U753"/>
    <mergeCell ref="V751:V753"/>
    <mergeCell ref="W751:W753"/>
    <mergeCell ref="X751:X753"/>
    <mergeCell ref="R763:R765"/>
    <mergeCell ref="S763:S765"/>
    <mergeCell ref="T763:T765"/>
    <mergeCell ref="U763:U765"/>
    <mergeCell ref="V763:V765"/>
    <mergeCell ref="W763:W765"/>
    <mergeCell ref="X763:X765"/>
    <mergeCell ref="R775:R777"/>
    <mergeCell ref="S775:S777"/>
    <mergeCell ref="T775:T777"/>
    <mergeCell ref="U775:U777"/>
    <mergeCell ref="V775:V777"/>
    <mergeCell ref="W775:W777"/>
    <mergeCell ref="X775:X777"/>
    <mergeCell ref="R787:R789"/>
    <mergeCell ref="S787:S789"/>
    <mergeCell ref="T787:T789"/>
    <mergeCell ref="U787:U789"/>
    <mergeCell ref="V787:V789"/>
    <mergeCell ref="W787:W789"/>
    <mergeCell ref="X787:X789"/>
    <mergeCell ref="R799:R801"/>
    <mergeCell ref="S799:S801"/>
    <mergeCell ref="T799:T801"/>
    <mergeCell ref="U799:U801"/>
    <mergeCell ref="V799:V801"/>
    <mergeCell ref="W799:W801"/>
    <mergeCell ref="X799:X801"/>
    <mergeCell ref="R811:R813"/>
    <mergeCell ref="S811:S813"/>
    <mergeCell ref="T811:T813"/>
    <mergeCell ref="U811:U813"/>
    <mergeCell ref="V811:V813"/>
    <mergeCell ref="W811:W813"/>
    <mergeCell ref="X811:X813"/>
    <mergeCell ref="R823:R825"/>
    <mergeCell ref="S823:S825"/>
    <mergeCell ref="T823:T825"/>
    <mergeCell ref="U823:U825"/>
    <mergeCell ref="V823:V825"/>
    <mergeCell ref="W823:W825"/>
    <mergeCell ref="X823:X825"/>
    <mergeCell ref="R835:R837"/>
    <mergeCell ref="S835:S837"/>
    <mergeCell ref="T835:T837"/>
    <mergeCell ref="U835:U837"/>
    <mergeCell ref="V835:V837"/>
    <mergeCell ref="W835:W837"/>
    <mergeCell ref="X835:X837"/>
    <mergeCell ref="R847:R849"/>
    <mergeCell ref="S847:S849"/>
    <mergeCell ref="T847:T849"/>
    <mergeCell ref="U847:U849"/>
    <mergeCell ref="V847:V849"/>
    <mergeCell ref="W847:W849"/>
    <mergeCell ref="X847:X849"/>
    <mergeCell ref="R859:R861"/>
    <mergeCell ref="S859:S861"/>
    <mergeCell ref="T859:T861"/>
    <mergeCell ref="U859:U861"/>
    <mergeCell ref="V859:V861"/>
    <mergeCell ref="W859:W861"/>
    <mergeCell ref="X859:X861"/>
    <mergeCell ref="R871:R873"/>
    <mergeCell ref="S871:S873"/>
    <mergeCell ref="T871:T873"/>
    <mergeCell ref="U871:U873"/>
    <mergeCell ref="V871:V873"/>
    <mergeCell ref="W871:W873"/>
    <mergeCell ref="X871:X873"/>
    <mergeCell ref="R883:R885"/>
    <mergeCell ref="S883:S885"/>
    <mergeCell ref="T883:T885"/>
    <mergeCell ref="U883:U885"/>
    <mergeCell ref="V883:V885"/>
    <mergeCell ref="W883:W885"/>
    <mergeCell ref="X883:X885"/>
    <mergeCell ref="R895:R897"/>
    <mergeCell ref="S895:S897"/>
    <mergeCell ref="T895:T897"/>
    <mergeCell ref="U895:U897"/>
    <mergeCell ref="V895:V897"/>
    <mergeCell ref="W895:W897"/>
    <mergeCell ref="X895:X897"/>
    <mergeCell ref="R907:R909"/>
    <mergeCell ref="S907:S909"/>
    <mergeCell ref="T907:T909"/>
    <mergeCell ref="U907:U909"/>
    <mergeCell ref="V907:V909"/>
    <mergeCell ref="W907:W909"/>
    <mergeCell ref="X907:X909"/>
    <mergeCell ref="R919:R921"/>
    <mergeCell ref="S919:S921"/>
    <mergeCell ref="T919:T921"/>
    <mergeCell ref="U919:U921"/>
    <mergeCell ref="V919:V921"/>
    <mergeCell ref="W919:W921"/>
    <mergeCell ref="X919:X921"/>
    <mergeCell ref="R931:R933"/>
    <mergeCell ref="S931:S933"/>
    <mergeCell ref="T931:T933"/>
    <mergeCell ref="U931:U933"/>
    <mergeCell ref="V931:V933"/>
    <mergeCell ref="W931:W933"/>
    <mergeCell ref="X931:X933"/>
    <mergeCell ref="R943:R945"/>
    <mergeCell ref="S943:S945"/>
    <mergeCell ref="T943:T945"/>
    <mergeCell ref="U943:U945"/>
    <mergeCell ref="V943:V945"/>
    <mergeCell ref="W943:W945"/>
    <mergeCell ref="X943:X945"/>
    <mergeCell ref="R955:R957"/>
    <mergeCell ref="S955:S957"/>
    <mergeCell ref="T955:T957"/>
    <mergeCell ref="U955:U957"/>
    <mergeCell ref="V955:V957"/>
    <mergeCell ref="W955:W957"/>
    <mergeCell ref="X955:X957"/>
    <mergeCell ref="R967:R969"/>
    <mergeCell ref="S967:S969"/>
    <mergeCell ref="T967:T969"/>
    <mergeCell ref="U967:U969"/>
    <mergeCell ref="V967:V969"/>
    <mergeCell ref="W967:W969"/>
    <mergeCell ref="X967:X969"/>
    <mergeCell ref="R979:R981"/>
    <mergeCell ref="S979:S981"/>
    <mergeCell ref="T979:T981"/>
    <mergeCell ref="U979:U981"/>
    <mergeCell ref="V979:V981"/>
    <mergeCell ref="W979:W981"/>
    <mergeCell ref="X979:X981"/>
    <mergeCell ref="R991:R993"/>
    <mergeCell ref="S991:S993"/>
    <mergeCell ref="T991:T993"/>
    <mergeCell ref="U991:U993"/>
    <mergeCell ref="V991:V993"/>
    <mergeCell ref="W991:W993"/>
    <mergeCell ref="X991:X993"/>
    <mergeCell ref="R1003:R1005"/>
    <mergeCell ref="S1003:S1005"/>
    <mergeCell ref="T1003:T1005"/>
    <mergeCell ref="U1003:U1005"/>
    <mergeCell ref="V1003:V1005"/>
    <mergeCell ref="W1003:W1005"/>
    <mergeCell ref="X1003:X1005"/>
    <mergeCell ref="R1015:R1017"/>
    <mergeCell ref="S1015:S1017"/>
    <mergeCell ref="T1015:T1017"/>
    <mergeCell ref="U1015:U1017"/>
    <mergeCell ref="V1015:V1017"/>
    <mergeCell ref="W1015:W1017"/>
    <mergeCell ref="X1015:X1017"/>
    <mergeCell ref="R1027:R1029"/>
    <mergeCell ref="S1027:S1029"/>
    <mergeCell ref="T1027:T1029"/>
    <mergeCell ref="U1027:U1029"/>
    <mergeCell ref="V1027:V1029"/>
    <mergeCell ref="W1027:W1029"/>
    <mergeCell ref="X1027:X1029"/>
    <mergeCell ref="R1039:R1041"/>
    <mergeCell ref="S1039:S1041"/>
    <mergeCell ref="T1039:T1041"/>
    <mergeCell ref="U1039:U1041"/>
    <mergeCell ref="V1039:V1041"/>
    <mergeCell ref="W1039:W1041"/>
    <mergeCell ref="X1039:X1041"/>
    <mergeCell ref="R1051:R1053"/>
    <mergeCell ref="S1051:S1053"/>
    <mergeCell ref="T1051:T1053"/>
    <mergeCell ref="U1051:U1053"/>
    <mergeCell ref="V1051:V1053"/>
    <mergeCell ref="W1051:W1053"/>
    <mergeCell ref="X1051:X1053"/>
    <mergeCell ref="R1063:R1065"/>
    <mergeCell ref="S1063:S1065"/>
    <mergeCell ref="T1063:T1065"/>
    <mergeCell ref="U1063:U1065"/>
    <mergeCell ref="V1063:V1065"/>
    <mergeCell ref="W1063:W1065"/>
    <mergeCell ref="X1063:X1065"/>
    <mergeCell ref="R1075:R1077"/>
    <mergeCell ref="S1075:S1077"/>
    <mergeCell ref="T1075:T1077"/>
    <mergeCell ref="U1075:U1077"/>
    <mergeCell ref="V1075:V1077"/>
    <mergeCell ref="W1075:W1077"/>
    <mergeCell ref="X1075:X1077"/>
    <mergeCell ref="R1087:R1089"/>
    <mergeCell ref="S1087:S1089"/>
    <mergeCell ref="T1087:T1089"/>
    <mergeCell ref="U1087:U1089"/>
    <mergeCell ref="V1087:V1089"/>
    <mergeCell ref="W1087:W1089"/>
    <mergeCell ref="X1087:X1089"/>
    <mergeCell ref="R1099:R1101"/>
    <mergeCell ref="S1099:S1101"/>
    <mergeCell ref="T1099:T1101"/>
    <mergeCell ref="U1099:U1101"/>
    <mergeCell ref="V1099:V1101"/>
    <mergeCell ref="W1099:W1101"/>
    <mergeCell ref="X1099:X1101"/>
    <mergeCell ref="R1111:R1113"/>
    <mergeCell ref="S1111:S1113"/>
    <mergeCell ref="T1111:T1113"/>
    <mergeCell ref="U1111:U1113"/>
    <mergeCell ref="V1111:V1113"/>
    <mergeCell ref="W1111:W1113"/>
    <mergeCell ref="X1111:X1113"/>
    <mergeCell ref="R1123:R1125"/>
    <mergeCell ref="S1123:S1125"/>
    <mergeCell ref="T1123:T1125"/>
    <mergeCell ref="U1123:U1125"/>
    <mergeCell ref="V1123:V1125"/>
    <mergeCell ref="W1123:W1125"/>
    <mergeCell ref="X1123:X1125"/>
    <mergeCell ref="R1135:R1137"/>
    <mergeCell ref="S1135:S1137"/>
    <mergeCell ref="T1135:T1137"/>
    <mergeCell ref="U1135:U1137"/>
    <mergeCell ref="V1135:V1137"/>
    <mergeCell ref="W1135:W1137"/>
    <mergeCell ref="X1135:X1137"/>
    <mergeCell ref="R1147:R1149"/>
    <mergeCell ref="S1147:S1149"/>
    <mergeCell ref="T1147:T1149"/>
    <mergeCell ref="U1147:U1149"/>
    <mergeCell ref="V1147:V1149"/>
    <mergeCell ref="W1147:W1149"/>
    <mergeCell ref="X1147:X1149"/>
    <mergeCell ref="R1159:R1161"/>
    <mergeCell ref="S1159:S1161"/>
    <mergeCell ref="T1159:T1161"/>
    <mergeCell ref="U1159:U1161"/>
    <mergeCell ref="V1159:V1161"/>
    <mergeCell ref="W1159:W1161"/>
    <mergeCell ref="X1159:X1161"/>
    <mergeCell ref="R1171:R1173"/>
    <mergeCell ref="S1171:S1173"/>
    <mergeCell ref="T1171:T1173"/>
    <mergeCell ref="U1171:U1173"/>
    <mergeCell ref="V1171:V1173"/>
    <mergeCell ref="W1171:W1173"/>
    <mergeCell ref="X1171:X1173"/>
    <mergeCell ref="R1183:R1185"/>
    <mergeCell ref="S1183:S1185"/>
    <mergeCell ref="T1183:T1185"/>
    <mergeCell ref="U1183:U1185"/>
    <mergeCell ref="V1183:V1185"/>
    <mergeCell ref="W1183:W1185"/>
    <mergeCell ref="X1183:X1185"/>
    <mergeCell ref="R1195:R1197"/>
    <mergeCell ref="S1195:S1197"/>
    <mergeCell ref="T1195:T1197"/>
    <mergeCell ref="U1195:U1197"/>
    <mergeCell ref="V1195:V1197"/>
    <mergeCell ref="W1195:W1197"/>
    <mergeCell ref="X1195:X1197"/>
    <mergeCell ref="R1207:R1209"/>
    <mergeCell ref="S1207:S1209"/>
    <mergeCell ref="T1207:T1209"/>
    <mergeCell ref="U1207:U1209"/>
    <mergeCell ref="V1207:V1209"/>
    <mergeCell ref="W1207:W1209"/>
    <mergeCell ref="X1207:X1209"/>
    <mergeCell ref="R1219:R1221"/>
    <mergeCell ref="S1219:S1221"/>
    <mergeCell ref="T1219:T1221"/>
    <mergeCell ref="U1219:U1221"/>
    <mergeCell ref="V1219:V1221"/>
    <mergeCell ref="W1219:W1221"/>
    <mergeCell ref="X1219:X1221"/>
    <mergeCell ref="R1231:R1233"/>
    <mergeCell ref="S1231:S1233"/>
    <mergeCell ref="T1231:T1233"/>
    <mergeCell ref="U1231:U1233"/>
    <mergeCell ref="V1231:V1233"/>
    <mergeCell ref="W1231:W1233"/>
    <mergeCell ref="X1231:X1233"/>
    <mergeCell ref="AR43:AR45"/>
    <mergeCell ref="AS43:AS45"/>
    <mergeCell ref="AT43:AT45"/>
    <mergeCell ref="AR79:AR81"/>
    <mergeCell ref="AS79:AS81"/>
    <mergeCell ref="AT79:AT81"/>
    <mergeCell ref="AR115:AR117"/>
    <mergeCell ref="AS115:AS117"/>
    <mergeCell ref="AT115:AT117"/>
    <mergeCell ref="AR151:AR153"/>
    <mergeCell ref="AS151:AS153"/>
    <mergeCell ref="AT151:AT153"/>
    <mergeCell ref="AR187:AR189"/>
    <mergeCell ref="AS187:AS189"/>
    <mergeCell ref="AT187:AT189"/>
    <mergeCell ref="AR223:AR225"/>
    <mergeCell ref="AS223:AS225"/>
    <mergeCell ref="AT223:AT225"/>
    <mergeCell ref="AR259:AR261"/>
    <mergeCell ref="AS259:AS261"/>
    <mergeCell ref="AT259:AT261"/>
    <mergeCell ref="AR295:AR297"/>
    <mergeCell ref="AS295:AS297"/>
    <mergeCell ref="AT295:AT297"/>
    <mergeCell ref="AR331:AR333"/>
    <mergeCell ref="AU43:AU45"/>
    <mergeCell ref="AV43:AV45"/>
    <mergeCell ref="AW43:AW45"/>
    <mergeCell ref="AX43:AX45"/>
    <mergeCell ref="AR55:AR57"/>
    <mergeCell ref="AS55:AS57"/>
    <mergeCell ref="AT55:AT57"/>
    <mergeCell ref="AU55:AU57"/>
    <mergeCell ref="AV55:AV57"/>
    <mergeCell ref="AW55:AW57"/>
    <mergeCell ref="AX55:AX57"/>
    <mergeCell ref="AR67:AR69"/>
    <mergeCell ref="AS67:AS69"/>
    <mergeCell ref="AT67:AT69"/>
    <mergeCell ref="AU67:AU69"/>
    <mergeCell ref="AV67:AV69"/>
    <mergeCell ref="AW67:AW69"/>
    <mergeCell ref="AX67:AX69"/>
    <mergeCell ref="AU79:AU81"/>
    <mergeCell ref="AV79:AV81"/>
    <mergeCell ref="AW79:AW81"/>
    <mergeCell ref="AX79:AX81"/>
    <mergeCell ref="AR91:AR93"/>
    <mergeCell ref="AS91:AS93"/>
    <mergeCell ref="AT91:AT93"/>
    <mergeCell ref="AU91:AU93"/>
    <mergeCell ref="AV91:AV93"/>
    <mergeCell ref="AW91:AW93"/>
    <mergeCell ref="AX91:AX93"/>
    <mergeCell ref="AR103:AR105"/>
    <mergeCell ref="AS103:AS105"/>
    <mergeCell ref="AT103:AT105"/>
    <mergeCell ref="AU103:AU105"/>
    <mergeCell ref="AV103:AV105"/>
    <mergeCell ref="AW103:AW105"/>
    <mergeCell ref="AX103:AX105"/>
    <mergeCell ref="AU115:AU117"/>
    <mergeCell ref="AV115:AV117"/>
    <mergeCell ref="AW115:AW117"/>
    <mergeCell ref="AX115:AX117"/>
    <mergeCell ref="AR127:AR129"/>
    <mergeCell ref="AS127:AS129"/>
    <mergeCell ref="AT127:AT129"/>
    <mergeCell ref="AU127:AU129"/>
    <mergeCell ref="AV127:AV129"/>
    <mergeCell ref="AW127:AW129"/>
    <mergeCell ref="AX127:AX129"/>
    <mergeCell ref="AR139:AR141"/>
    <mergeCell ref="AS139:AS141"/>
    <mergeCell ref="AT139:AT141"/>
    <mergeCell ref="AU139:AU141"/>
    <mergeCell ref="AV139:AV141"/>
    <mergeCell ref="AW139:AW141"/>
    <mergeCell ref="AX139:AX141"/>
    <mergeCell ref="AU151:AU153"/>
    <mergeCell ref="AV151:AV153"/>
    <mergeCell ref="AW151:AW153"/>
    <mergeCell ref="AX151:AX153"/>
    <mergeCell ref="AR163:AR165"/>
    <mergeCell ref="AS163:AS165"/>
    <mergeCell ref="AT163:AT165"/>
    <mergeCell ref="AU163:AU165"/>
    <mergeCell ref="AV163:AV165"/>
    <mergeCell ref="AW163:AW165"/>
    <mergeCell ref="AX163:AX165"/>
    <mergeCell ref="AR175:AR177"/>
    <mergeCell ref="AS175:AS177"/>
    <mergeCell ref="AT175:AT177"/>
    <mergeCell ref="AU175:AU177"/>
    <mergeCell ref="AV175:AV177"/>
    <mergeCell ref="AW175:AW177"/>
    <mergeCell ref="AX175:AX177"/>
    <mergeCell ref="AU187:AU189"/>
    <mergeCell ref="AV187:AV189"/>
    <mergeCell ref="AW187:AW189"/>
    <mergeCell ref="AX187:AX189"/>
    <mergeCell ref="AR199:AR201"/>
    <mergeCell ref="AS199:AS201"/>
    <mergeCell ref="AT199:AT201"/>
    <mergeCell ref="AU199:AU201"/>
    <mergeCell ref="AV199:AV201"/>
    <mergeCell ref="AW199:AW201"/>
    <mergeCell ref="AX199:AX201"/>
    <mergeCell ref="AR211:AR213"/>
    <mergeCell ref="AS211:AS213"/>
    <mergeCell ref="AT211:AT213"/>
    <mergeCell ref="AU211:AU213"/>
    <mergeCell ref="AV211:AV213"/>
    <mergeCell ref="AW211:AW213"/>
    <mergeCell ref="AX211:AX213"/>
    <mergeCell ref="AU223:AU225"/>
    <mergeCell ref="AV223:AV225"/>
    <mergeCell ref="AW223:AW225"/>
    <mergeCell ref="AX223:AX225"/>
    <mergeCell ref="AR235:AR237"/>
    <mergeCell ref="AS235:AS237"/>
    <mergeCell ref="AT235:AT237"/>
    <mergeCell ref="AU235:AU237"/>
    <mergeCell ref="AV235:AV237"/>
    <mergeCell ref="AW235:AW237"/>
    <mergeCell ref="AX235:AX237"/>
    <mergeCell ref="AR247:AR249"/>
    <mergeCell ref="AS247:AS249"/>
    <mergeCell ref="AT247:AT249"/>
    <mergeCell ref="AU247:AU249"/>
    <mergeCell ref="AV247:AV249"/>
    <mergeCell ref="AW247:AW249"/>
    <mergeCell ref="AX247:AX249"/>
    <mergeCell ref="AU259:AU261"/>
    <mergeCell ref="AV259:AV261"/>
    <mergeCell ref="AW259:AW261"/>
    <mergeCell ref="AX259:AX261"/>
    <mergeCell ref="AR271:AR273"/>
    <mergeCell ref="AS271:AS273"/>
    <mergeCell ref="AT271:AT273"/>
    <mergeCell ref="AU271:AU273"/>
    <mergeCell ref="AV271:AV273"/>
    <mergeCell ref="AW271:AW273"/>
    <mergeCell ref="AX271:AX273"/>
    <mergeCell ref="AR283:AR285"/>
    <mergeCell ref="AS283:AS285"/>
    <mergeCell ref="AT283:AT285"/>
    <mergeCell ref="AU283:AU285"/>
    <mergeCell ref="AV283:AV285"/>
    <mergeCell ref="AW283:AW285"/>
    <mergeCell ref="AX283:AX285"/>
    <mergeCell ref="AU295:AU297"/>
    <mergeCell ref="AV295:AV297"/>
    <mergeCell ref="AW295:AW297"/>
    <mergeCell ref="AX295:AX297"/>
    <mergeCell ref="AR307:AR309"/>
    <mergeCell ref="AS307:AS309"/>
    <mergeCell ref="AT307:AT309"/>
    <mergeCell ref="AU307:AU309"/>
    <mergeCell ref="AV307:AV309"/>
    <mergeCell ref="AW307:AW309"/>
    <mergeCell ref="AX307:AX309"/>
    <mergeCell ref="AR319:AR321"/>
    <mergeCell ref="AS319:AS321"/>
    <mergeCell ref="AT319:AT321"/>
    <mergeCell ref="AU319:AU321"/>
    <mergeCell ref="AV319:AV321"/>
    <mergeCell ref="AW319:AW321"/>
    <mergeCell ref="AX319:AX321"/>
    <mergeCell ref="AS331:AS333"/>
    <mergeCell ref="AT331:AT333"/>
    <mergeCell ref="AU331:AU333"/>
    <mergeCell ref="AV331:AV333"/>
    <mergeCell ref="AW331:AW333"/>
    <mergeCell ref="AX331:AX333"/>
    <mergeCell ref="AR343:AR345"/>
    <mergeCell ref="AS343:AS345"/>
    <mergeCell ref="AT343:AT345"/>
    <mergeCell ref="AU343:AU345"/>
    <mergeCell ref="AV343:AV345"/>
    <mergeCell ref="AW343:AW345"/>
    <mergeCell ref="AX343:AX345"/>
    <mergeCell ref="AR355:AR357"/>
    <mergeCell ref="AS355:AS357"/>
    <mergeCell ref="AT355:AT357"/>
    <mergeCell ref="AU355:AU357"/>
    <mergeCell ref="AV355:AV357"/>
    <mergeCell ref="AW355:AW357"/>
    <mergeCell ref="AX355:AX357"/>
    <mergeCell ref="AR367:AR369"/>
    <mergeCell ref="AS367:AS369"/>
    <mergeCell ref="AT367:AT369"/>
    <mergeCell ref="AU367:AU369"/>
    <mergeCell ref="AV367:AV369"/>
    <mergeCell ref="AW367:AW369"/>
    <mergeCell ref="AX367:AX369"/>
    <mergeCell ref="AR379:AR381"/>
    <mergeCell ref="AS379:AS381"/>
    <mergeCell ref="AT379:AT381"/>
    <mergeCell ref="AU379:AU381"/>
    <mergeCell ref="AV379:AV381"/>
    <mergeCell ref="AW379:AW381"/>
    <mergeCell ref="AX379:AX381"/>
    <mergeCell ref="AR391:AR393"/>
    <mergeCell ref="AS391:AS393"/>
    <mergeCell ref="AT391:AT393"/>
    <mergeCell ref="AU391:AU393"/>
    <mergeCell ref="AV391:AV393"/>
    <mergeCell ref="AW391:AW393"/>
    <mergeCell ref="AX391:AX393"/>
    <mergeCell ref="AR403:AR405"/>
    <mergeCell ref="AS403:AS405"/>
    <mergeCell ref="AT403:AT405"/>
    <mergeCell ref="AU403:AU405"/>
    <mergeCell ref="AV403:AV405"/>
    <mergeCell ref="AW403:AW405"/>
    <mergeCell ref="AX403:AX405"/>
    <mergeCell ref="AR415:AR417"/>
    <mergeCell ref="AS415:AS417"/>
    <mergeCell ref="AT415:AT417"/>
    <mergeCell ref="AU415:AU417"/>
    <mergeCell ref="AV415:AV417"/>
    <mergeCell ref="AW415:AW417"/>
    <mergeCell ref="AX415:AX417"/>
    <mergeCell ref="AR427:AR429"/>
    <mergeCell ref="AS427:AS429"/>
    <mergeCell ref="AT427:AT429"/>
    <mergeCell ref="AU427:AU429"/>
    <mergeCell ref="AV427:AV429"/>
    <mergeCell ref="AW427:AW429"/>
    <mergeCell ref="AX427:AX429"/>
    <mergeCell ref="AR439:AR441"/>
    <mergeCell ref="AS439:AS441"/>
    <mergeCell ref="AT439:AT441"/>
    <mergeCell ref="AU439:AU441"/>
    <mergeCell ref="AV439:AV441"/>
    <mergeCell ref="AW439:AW441"/>
    <mergeCell ref="AX439:AX441"/>
    <mergeCell ref="AR451:AR453"/>
    <mergeCell ref="AS451:AS453"/>
    <mergeCell ref="AT451:AT453"/>
    <mergeCell ref="AU451:AU453"/>
    <mergeCell ref="AV451:AV453"/>
    <mergeCell ref="AW451:AW453"/>
    <mergeCell ref="AX451:AX453"/>
    <mergeCell ref="AR463:AR465"/>
    <mergeCell ref="AS463:AS465"/>
    <mergeCell ref="AT463:AT465"/>
    <mergeCell ref="AU463:AU465"/>
    <mergeCell ref="AV463:AV465"/>
    <mergeCell ref="AW463:AW465"/>
    <mergeCell ref="AX463:AX465"/>
    <mergeCell ref="AR475:AR477"/>
    <mergeCell ref="AS475:AS477"/>
    <mergeCell ref="AT475:AT477"/>
    <mergeCell ref="AU475:AU477"/>
    <mergeCell ref="AV475:AV477"/>
    <mergeCell ref="AW475:AW477"/>
    <mergeCell ref="AX475:AX477"/>
    <mergeCell ref="AR487:AR489"/>
    <mergeCell ref="AS487:AS489"/>
    <mergeCell ref="AT487:AT489"/>
    <mergeCell ref="AU487:AU489"/>
    <mergeCell ref="AV487:AV489"/>
    <mergeCell ref="AW487:AW489"/>
    <mergeCell ref="AX487:AX489"/>
    <mergeCell ref="AR499:AR501"/>
    <mergeCell ref="AS499:AS501"/>
    <mergeCell ref="AT499:AT501"/>
    <mergeCell ref="AU499:AU501"/>
    <mergeCell ref="AV499:AV501"/>
    <mergeCell ref="AW499:AW501"/>
    <mergeCell ref="AX499:AX501"/>
    <mergeCell ref="AR511:AR513"/>
    <mergeCell ref="AS511:AS513"/>
    <mergeCell ref="AT511:AT513"/>
    <mergeCell ref="AU511:AU513"/>
    <mergeCell ref="AV511:AV513"/>
    <mergeCell ref="AW511:AW513"/>
    <mergeCell ref="AX511:AX513"/>
    <mergeCell ref="AR523:AR525"/>
    <mergeCell ref="AS523:AS525"/>
    <mergeCell ref="AT523:AT525"/>
    <mergeCell ref="AU523:AU525"/>
    <mergeCell ref="AV523:AV525"/>
    <mergeCell ref="AW523:AW525"/>
    <mergeCell ref="AX523:AX525"/>
    <mergeCell ref="AR535:AR537"/>
    <mergeCell ref="AS535:AS537"/>
    <mergeCell ref="AT535:AT537"/>
    <mergeCell ref="AU535:AU537"/>
    <mergeCell ref="AV535:AV537"/>
    <mergeCell ref="AW535:AW537"/>
    <mergeCell ref="AX535:AX537"/>
    <mergeCell ref="AR547:AR549"/>
    <mergeCell ref="AS547:AS549"/>
    <mergeCell ref="AT547:AT549"/>
    <mergeCell ref="AU547:AU549"/>
    <mergeCell ref="AV547:AV549"/>
    <mergeCell ref="AW547:AW549"/>
    <mergeCell ref="AX547:AX549"/>
    <mergeCell ref="AR559:AR561"/>
    <mergeCell ref="AS559:AS561"/>
    <mergeCell ref="AT559:AT561"/>
    <mergeCell ref="AU559:AU561"/>
    <mergeCell ref="AV559:AV561"/>
    <mergeCell ref="AW559:AW561"/>
    <mergeCell ref="AX559:AX561"/>
    <mergeCell ref="AR571:AR573"/>
    <mergeCell ref="AS571:AS573"/>
    <mergeCell ref="AT571:AT573"/>
    <mergeCell ref="AU571:AU573"/>
    <mergeCell ref="AV571:AV573"/>
    <mergeCell ref="AW571:AW573"/>
    <mergeCell ref="AX571:AX573"/>
    <mergeCell ref="AR583:AR585"/>
    <mergeCell ref="AS583:AS585"/>
    <mergeCell ref="AT583:AT585"/>
    <mergeCell ref="AU583:AU585"/>
    <mergeCell ref="AV583:AV585"/>
    <mergeCell ref="AW583:AW585"/>
    <mergeCell ref="AX583:AX585"/>
    <mergeCell ref="AR595:AR597"/>
    <mergeCell ref="AS595:AS597"/>
    <mergeCell ref="AT595:AT597"/>
    <mergeCell ref="AU595:AU597"/>
    <mergeCell ref="AV595:AV597"/>
    <mergeCell ref="AW595:AW597"/>
    <mergeCell ref="AX595:AX597"/>
    <mergeCell ref="AR607:AR609"/>
    <mergeCell ref="AS607:AS609"/>
    <mergeCell ref="AT607:AT609"/>
    <mergeCell ref="AU607:AU609"/>
    <mergeCell ref="AV607:AV609"/>
    <mergeCell ref="AW607:AW609"/>
    <mergeCell ref="AX607:AX609"/>
    <mergeCell ref="AR619:AR621"/>
    <mergeCell ref="AS619:AS621"/>
    <mergeCell ref="AT619:AT621"/>
    <mergeCell ref="AU619:AU621"/>
    <mergeCell ref="AV619:AV621"/>
    <mergeCell ref="AW619:AW621"/>
    <mergeCell ref="AX619:AX621"/>
    <mergeCell ref="AR631:AR633"/>
    <mergeCell ref="AS631:AS633"/>
    <mergeCell ref="AT631:AT633"/>
    <mergeCell ref="AU631:AU633"/>
    <mergeCell ref="AV631:AV633"/>
    <mergeCell ref="AW631:AW633"/>
    <mergeCell ref="AX631:AX633"/>
    <mergeCell ref="AR643:AR645"/>
    <mergeCell ref="AS643:AS645"/>
    <mergeCell ref="AT643:AT645"/>
    <mergeCell ref="AU643:AU645"/>
    <mergeCell ref="AV643:AV645"/>
    <mergeCell ref="AW643:AW645"/>
    <mergeCell ref="AX643:AX645"/>
    <mergeCell ref="AR655:AR657"/>
    <mergeCell ref="AS655:AS657"/>
    <mergeCell ref="AT655:AT657"/>
    <mergeCell ref="AU655:AU657"/>
    <mergeCell ref="AV655:AV657"/>
    <mergeCell ref="AW655:AW657"/>
    <mergeCell ref="AX655:AX657"/>
    <mergeCell ref="AR667:AR669"/>
    <mergeCell ref="AS667:AS669"/>
    <mergeCell ref="AT667:AT669"/>
    <mergeCell ref="AU667:AU669"/>
    <mergeCell ref="AV667:AV669"/>
    <mergeCell ref="AW667:AW669"/>
    <mergeCell ref="AX667:AX669"/>
    <mergeCell ref="AR679:AR681"/>
    <mergeCell ref="AS679:AS681"/>
    <mergeCell ref="AT679:AT681"/>
    <mergeCell ref="AU679:AU681"/>
    <mergeCell ref="AV679:AV681"/>
    <mergeCell ref="AW679:AW681"/>
    <mergeCell ref="AX679:AX681"/>
    <mergeCell ref="AR691:AR693"/>
    <mergeCell ref="AS691:AS693"/>
    <mergeCell ref="AT691:AT693"/>
    <mergeCell ref="AU691:AU693"/>
    <mergeCell ref="AV691:AV693"/>
    <mergeCell ref="AW691:AW693"/>
    <mergeCell ref="AX691:AX693"/>
    <mergeCell ref="AR703:AR705"/>
    <mergeCell ref="AS703:AS705"/>
    <mergeCell ref="AT703:AT705"/>
    <mergeCell ref="AU703:AU705"/>
    <mergeCell ref="AV703:AV705"/>
    <mergeCell ref="AW703:AW705"/>
    <mergeCell ref="AX703:AX705"/>
    <mergeCell ref="AR715:AR717"/>
    <mergeCell ref="AS715:AS717"/>
    <mergeCell ref="AT715:AT717"/>
    <mergeCell ref="AU715:AU717"/>
    <mergeCell ref="AV715:AV717"/>
    <mergeCell ref="AW715:AW717"/>
    <mergeCell ref="AX715:AX717"/>
    <mergeCell ref="AR727:AR729"/>
    <mergeCell ref="AS727:AS729"/>
    <mergeCell ref="AT727:AT729"/>
    <mergeCell ref="AU727:AU729"/>
    <mergeCell ref="AV727:AV729"/>
    <mergeCell ref="AW727:AW729"/>
    <mergeCell ref="AX727:AX729"/>
    <mergeCell ref="AR739:AR741"/>
    <mergeCell ref="AS739:AS741"/>
    <mergeCell ref="AT739:AT741"/>
    <mergeCell ref="AU739:AU741"/>
    <mergeCell ref="AV739:AV741"/>
    <mergeCell ref="AW739:AW741"/>
    <mergeCell ref="AX739:AX741"/>
    <mergeCell ref="AR751:AR753"/>
    <mergeCell ref="AS751:AS753"/>
    <mergeCell ref="AT751:AT753"/>
    <mergeCell ref="AU751:AU753"/>
    <mergeCell ref="AV751:AV753"/>
    <mergeCell ref="AW751:AW753"/>
    <mergeCell ref="AX751:AX753"/>
    <mergeCell ref="AR763:AR765"/>
    <mergeCell ref="AS763:AS765"/>
    <mergeCell ref="AT763:AT765"/>
    <mergeCell ref="AU763:AU765"/>
    <mergeCell ref="AV763:AV765"/>
    <mergeCell ref="AW763:AW765"/>
    <mergeCell ref="AX763:AX765"/>
    <mergeCell ref="AR775:AR777"/>
    <mergeCell ref="AS775:AS777"/>
    <mergeCell ref="AT775:AT777"/>
    <mergeCell ref="AU775:AU777"/>
    <mergeCell ref="AV775:AV777"/>
    <mergeCell ref="AW775:AW777"/>
    <mergeCell ref="AX775:AX777"/>
    <mergeCell ref="AR787:AR789"/>
    <mergeCell ref="AS787:AS789"/>
    <mergeCell ref="AT787:AT789"/>
    <mergeCell ref="AU787:AU789"/>
    <mergeCell ref="AV787:AV789"/>
    <mergeCell ref="AW787:AW789"/>
    <mergeCell ref="AX787:AX789"/>
    <mergeCell ref="AR799:AR801"/>
    <mergeCell ref="AS799:AS801"/>
    <mergeCell ref="AT799:AT801"/>
    <mergeCell ref="AU799:AU801"/>
    <mergeCell ref="AV799:AV801"/>
    <mergeCell ref="AW799:AW801"/>
    <mergeCell ref="AX799:AX801"/>
    <mergeCell ref="AR811:AR813"/>
    <mergeCell ref="AS811:AS813"/>
    <mergeCell ref="AT811:AT813"/>
    <mergeCell ref="AU811:AU813"/>
    <mergeCell ref="AV811:AV813"/>
    <mergeCell ref="AW811:AW813"/>
    <mergeCell ref="AX811:AX813"/>
    <mergeCell ref="AR823:AR825"/>
    <mergeCell ref="AS823:AS825"/>
    <mergeCell ref="AT823:AT825"/>
    <mergeCell ref="AU823:AU825"/>
    <mergeCell ref="AV823:AV825"/>
    <mergeCell ref="AW823:AW825"/>
    <mergeCell ref="AX823:AX825"/>
    <mergeCell ref="AR835:AR837"/>
    <mergeCell ref="AS835:AS837"/>
    <mergeCell ref="AT835:AT837"/>
    <mergeCell ref="AU835:AU837"/>
    <mergeCell ref="AV835:AV837"/>
    <mergeCell ref="AW835:AW837"/>
    <mergeCell ref="AX835:AX837"/>
    <mergeCell ref="AR847:AR849"/>
    <mergeCell ref="AS847:AS849"/>
    <mergeCell ref="AT847:AT849"/>
    <mergeCell ref="AU847:AU849"/>
    <mergeCell ref="AV847:AV849"/>
    <mergeCell ref="AW847:AW849"/>
    <mergeCell ref="AX847:AX849"/>
    <mergeCell ref="AR859:AR861"/>
    <mergeCell ref="AS859:AS861"/>
    <mergeCell ref="AT859:AT861"/>
    <mergeCell ref="AU859:AU861"/>
    <mergeCell ref="AV859:AV861"/>
    <mergeCell ref="AW859:AW861"/>
    <mergeCell ref="AX859:AX861"/>
    <mergeCell ref="AR871:AR873"/>
    <mergeCell ref="AS871:AS873"/>
    <mergeCell ref="AT871:AT873"/>
    <mergeCell ref="AU871:AU873"/>
    <mergeCell ref="AV871:AV873"/>
    <mergeCell ref="AW871:AW873"/>
    <mergeCell ref="AX871:AX873"/>
    <mergeCell ref="AR883:AR885"/>
    <mergeCell ref="AS883:AS885"/>
    <mergeCell ref="AT883:AT885"/>
    <mergeCell ref="AU883:AU885"/>
    <mergeCell ref="AV883:AV885"/>
    <mergeCell ref="AW883:AW885"/>
    <mergeCell ref="AX883:AX885"/>
    <mergeCell ref="AR895:AR897"/>
    <mergeCell ref="AS895:AS897"/>
    <mergeCell ref="AT895:AT897"/>
    <mergeCell ref="AU895:AU897"/>
    <mergeCell ref="AV895:AV897"/>
    <mergeCell ref="AW895:AW897"/>
    <mergeCell ref="AX895:AX897"/>
    <mergeCell ref="AR907:AR909"/>
    <mergeCell ref="AS907:AS909"/>
    <mergeCell ref="AT907:AT909"/>
    <mergeCell ref="AU907:AU909"/>
    <mergeCell ref="AV907:AV909"/>
    <mergeCell ref="AW907:AW909"/>
    <mergeCell ref="AX907:AX909"/>
    <mergeCell ref="AR919:AR921"/>
    <mergeCell ref="AS919:AS921"/>
    <mergeCell ref="AT919:AT921"/>
    <mergeCell ref="AU919:AU921"/>
    <mergeCell ref="AV919:AV921"/>
    <mergeCell ref="AW919:AW921"/>
    <mergeCell ref="AX919:AX921"/>
    <mergeCell ref="AR931:AR933"/>
    <mergeCell ref="AS931:AS933"/>
    <mergeCell ref="AT931:AT933"/>
    <mergeCell ref="AU931:AU933"/>
    <mergeCell ref="AV931:AV933"/>
    <mergeCell ref="AW931:AW933"/>
    <mergeCell ref="AX931:AX933"/>
    <mergeCell ref="AR943:AR945"/>
    <mergeCell ref="AS943:AS945"/>
    <mergeCell ref="AT943:AT945"/>
    <mergeCell ref="AU943:AU945"/>
    <mergeCell ref="AV943:AV945"/>
    <mergeCell ref="AW943:AW945"/>
    <mergeCell ref="AX943:AX945"/>
    <mergeCell ref="AR955:AR957"/>
    <mergeCell ref="AS955:AS957"/>
    <mergeCell ref="AT955:AT957"/>
    <mergeCell ref="AU955:AU957"/>
    <mergeCell ref="AV955:AV957"/>
    <mergeCell ref="AW955:AW957"/>
    <mergeCell ref="AX955:AX957"/>
    <mergeCell ref="AR967:AR969"/>
    <mergeCell ref="AS967:AS969"/>
    <mergeCell ref="AT967:AT969"/>
    <mergeCell ref="AU967:AU969"/>
    <mergeCell ref="AV967:AV969"/>
    <mergeCell ref="AW967:AW969"/>
    <mergeCell ref="AX967:AX969"/>
    <mergeCell ref="AR979:AR981"/>
    <mergeCell ref="AS979:AS981"/>
    <mergeCell ref="AT979:AT981"/>
    <mergeCell ref="AU979:AU981"/>
    <mergeCell ref="AV979:AV981"/>
    <mergeCell ref="AW979:AW981"/>
    <mergeCell ref="AX979:AX981"/>
    <mergeCell ref="AR991:AR993"/>
    <mergeCell ref="AS991:AS993"/>
    <mergeCell ref="AT991:AT993"/>
    <mergeCell ref="AU991:AU993"/>
    <mergeCell ref="AV991:AV993"/>
    <mergeCell ref="AW991:AW993"/>
    <mergeCell ref="AX991:AX993"/>
    <mergeCell ref="AR1003:AR1005"/>
    <mergeCell ref="AS1003:AS1005"/>
    <mergeCell ref="AT1003:AT1005"/>
    <mergeCell ref="AU1003:AU1005"/>
    <mergeCell ref="AV1003:AV1005"/>
    <mergeCell ref="AW1003:AW1005"/>
    <mergeCell ref="AX1003:AX1005"/>
    <mergeCell ref="AR1015:AR1017"/>
    <mergeCell ref="AS1015:AS1017"/>
    <mergeCell ref="AT1015:AT1017"/>
    <mergeCell ref="AU1015:AU1017"/>
    <mergeCell ref="AV1015:AV1017"/>
    <mergeCell ref="AW1015:AW1017"/>
    <mergeCell ref="AX1015:AX1017"/>
    <mergeCell ref="AR1027:AR1029"/>
    <mergeCell ref="AS1027:AS1029"/>
    <mergeCell ref="AT1027:AT1029"/>
    <mergeCell ref="AU1027:AU1029"/>
    <mergeCell ref="AV1027:AV1029"/>
    <mergeCell ref="AW1027:AW1029"/>
    <mergeCell ref="AX1027:AX1029"/>
    <mergeCell ref="AR1039:AR1041"/>
    <mergeCell ref="AS1039:AS1041"/>
    <mergeCell ref="AT1039:AT1041"/>
    <mergeCell ref="AU1039:AU1041"/>
    <mergeCell ref="AV1039:AV1041"/>
    <mergeCell ref="AW1039:AW1041"/>
    <mergeCell ref="AX1039:AX1041"/>
    <mergeCell ref="AR1051:AR1053"/>
    <mergeCell ref="AS1051:AS1053"/>
    <mergeCell ref="AT1051:AT1053"/>
    <mergeCell ref="AU1051:AU1053"/>
    <mergeCell ref="AV1051:AV1053"/>
    <mergeCell ref="AW1051:AW1053"/>
    <mergeCell ref="AX1051:AX1053"/>
    <mergeCell ref="AR1063:AR1065"/>
    <mergeCell ref="AS1063:AS1065"/>
    <mergeCell ref="AT1063:AT1065"/>
    <mergeCell ref="AU1063:AU1065"/>
    <mergeCell ref="AV1063:AV1065"/>
    <mergeCell ref="AW1063:AW1065"/>
    <mergeCell ref="AX1063:AX1065"/>
    <mergeCell ref="AR1075:AR1077"/>
    <mergeCell ref="AS1075:AS1077"/>
    <mergeCell ref="AT1075:AT1077"/>
    <mergeCell ref="AU1075:AU1077"/>
    <mergeCell ref="AV1075:AV1077"/>
    <mergeCell ref="AW1075:AW1077"/>
    <mergeCell ref="AX1075:AX1077"/>
    <mergeCell ref="AR1087:AR1089"/>
    <mergeCell ref="AS1087:AS1089"/>
    <mergeCell ref="AT1087:AT1089"/>
    <mergeCell ref="AU1087:AU1089"/>
    <mergeCell ref="AV1087:AV1089"/>
    <mergeCell ref="AW1087:AW1089"/>
    <mergeCell ref="AX1087:AX1089"/>
    <mergeCell ref="AR1099:AR1101"/>
    <mergeCell ref="AS1099:AS1101"/>
    <mergeCell ref="AT1099:AT1101"/>
    <mergeCell ref="AU1099:AU1101"/>
    <mergeCell ref="AV1099:AV1101"/>
    <mergeCell ref="AW1099:AW1101"/>
    <mergeCell ref="AX1099:AX1101"/>
    <mergeCell ref="AR1111:AR1113"/>
    <mergeCell ref="AS1111:AS1113"/>
    <mergeCell ref="AT1111:AT1113"/>
    <mergeCell ref="AU1111:AU1113"/>
    <mergeCell ref="AV1111:AV1113"/>
    <mergeCell ref="AW1111:AW1113"/>
    <mergeCell ref="AX1111:AX1113"/>
    <mergeCell ref="AR1123:AR1125"/>
    <mergeCell ref="AS1123:AS1125"/>
    <mergeCell ref="AT1123:AT1125"/>
    <mergeCell ref="AU1123:AU1125"/>
    <mergeCell ref="AV1123:AV1125"/>
    <mergeCell ref="AW1123:AW1125"/>
    <mergeCell ref="AX1123:AX1125"/>
    <mergeCell ref="AR1135:AR1137"/>
    <mergeCell ref="AS1135:AS1137"/>
    <mergeCell ref="AT1135:AT1137"/>
    <mergeCell ref="AU1135:AU1137"/>
    <mergeCell ref="AV1135:AV1137"/>
    <mergeCell ref="AW1135:AW1137"/>
    <mergeCell ref="AX1135:AX1137"/>
    <mergeCell ref="AR1147:AR1149"/>
    <mergeCell ref="AS1147:AS1149"/>
    <mergeCell ref="AT1147:AT1149"/>
    <mergeCell ref="AU1147:AU1149"/>
    <mergeCell ref="AV1147:AV1149"/>
    <mergeCell ref="AW1147:AW1149"/>
    <mergeCell ref="AX1147:AX1149"/>
    <mergeCell ref="AR1159:AR1161"/>
    <mergeCell ref="AS1159:AS1161"/>
    <mergeCell ref="AT1159:AT1161"/>
    <mergeCell ref="AU1159:AU1161"/>
    <mergeCell ref="AV1159:AV1161"/>
    <mergeCell ref="AW1159:AW1161"/>
    <mergeCell ref="AX1159:AX1161"/>
    <mergeCell ref="AR1171:AR1173"/>
    <mergeCell ref="AS1171:AS1173"/>
    <mergeCell ref="AT1171:AT1173"/>
    <mergeCell ref="AU1171:AU1173"/>
    <mergeCell ref="AV1171:AV1173"/>
    <mergeCell ref="AW1171:AW1173"/>
    <mergeCell ref="AX1171:AX1173"/>
    <mergeCell ref="AR1183:AR1185"/>
    <mergeCell ref="AS1183:AS1185"/>
    <mergeCell ref="AT1183:AT1185"/>
    <mergeCell ref="AU1183:AU1185"/>
    <mergeCell ref="AV1183:AV1185"/>
    <mergeCell ref="AW1183:AW1185"/>
    <mergeCell ref="AX1183:AX1185"/>
    <mergeCell ref="AR1195:AR1197"/>
    <mergeCell ref="AS1195:AS1197"/>
    <mergeCell ref="AT1195:AT1197"/>
    <mergeCell ref="AU1195:AU1197"/>
    <mergeCell ref="AV1195:AV1197"/>
    <mergeCell ref="AW1195:AW1197"/>
    <mergeCell ref="AX1195:AX1197"/>
    <mergeCell ref="AR1207:AR1209"/>
    <mergeCell ref="AS1207:AS1209"/>
    <mergeCell ref="AT1207:AT1209"/>
    <mergeCell ref="AU1207:AU1209"/>
    <mergeCell ref="AV1207:AV1209"/>
    <mergeCell ref="AW1207:AW1209"/>
    <mergeCell ref="AX1207:AX1209"/>
    <mergeCell ref="AR1219:AR1221"/>
    <mergeCell ref="AS1219:AS1221"/>
    <mergeCell ref="AT1219:AT1221"/>
    <mergeCell ref="AU1219:AU1221"/>
    <mergeCell ref="AV1219:AV1221"/>
    <mergeCell ref="AW1219:AW1221"/>
    <mergeCell ref="AX1219:AX1221"/>
    <mergeCell ref="AR1231:AR1233"/>
    <mergeCell ref="AS1231:AS1233"/>
    <mergeCell ref="AT1231:AT1233"/>
    <mergeCell ref="AU1231:AU1233"/>
    <mergeCell ref="AV1231:AV1233"/>
    <mergeCell ref="AW1231:AW1233"/>
    <mergeCell ref="AX1231:AX1233"/>
    <mergeCell ref="AD1242:AN1242"/>
    <mergeCell ref="AD1244:AE1244"/>
    <mergeCell ref="AG1246:AI1246"/>
    <mergeCell ref="AJ1246:AM1246"/>
    <mergeCell ref="AG1250:AI1250"/>
    <mergeCell ref="AJ1250:AM1250"/>
    <mergeCell ref="AG1252:AI1252"/>
    <mergeCell ref="AJ1252:AM1252"/>
    <mergeCell ref="AD1254:AN1254"/>
    <mergeCell ref="AD1256:AE1256"/>
    <mergeCell ref="AG1238:AI1238"/>
    <mergeCell ref="AJ1238:AL1238"/>
    <mergeCell ref="AG1239:AI1239"/>
    <mergeCell ref="AJ1239:AL1239"/>
    <mergeCell ref="AG1240:AI1240"/>
    <mergeCell ref="AJ1240:AL1240"/>
    <mergeCell ref="AG1258:AI1258"/>
    <mergeCell ref="AJ1258:AM1258"/>
    <mergeCell ref="AG1262:AI1262"/>
    <mergeCell ref="AJ1262:AM1262"/>
    <mergeCell ref="AG1264:AI1264"/>
    <mergeCell ref="AJ1264:AM1264"/>
    <mergeCell ref="AD1266:AN1266"/>
    <mergeCell ref="AD1268:AE1268"/>
    <mergeCell ref="AG1270:AI1270"/>
    <mergeCell ref="AJ1270:AM1270"/>
    <mergeCell ref="AG1274:AI1274"/>
    <mergeCell ref="AJ1274:AM1274"/>
    <mergeCell ref="AG1276:AI1276"/>
    <mergeCell ref="AJ1276:AM1276"/>
    <mergeCell ref="AD1278:AN1278"/>
    <mergeCell ref="AD1280:AE1280"/>
    <mergeCell ref="AG1282:AI1282"/>
    <mergeCell ref="AJ1282:AM1282"/>
    <mergeCell ref="AG1286:AI1286"/>
    <mergeCell ref="AJ1286:AM1286"/>
    <mergeCell ref="AG1288:AI1288"/>
    <mergeCell ref="AJ1288:AM1288"/>
    <mergeCell ref="AD1290:AN1290"/>
    <mergeCell ref="AD1292:AE1292"/>
    <mergeCell ref="AG1294:AI1294"/>
    <mergeCell ref="AJ1294:AM1294"/>
    <mergeCell ref="AG1298:AI1298"/>
    <mergeCell ref="AJ1298:AM1298"/>
    <mergeCell ref="AG1300:AI1300"/>
    <mergeCell ref="AJ1300:AM1300"/>
    <mergeCell ref="AD1302:AN1302"/>
    <mergeCell ref="AD1304:AE1304"/>
    <mergeCell ref="AG1306:AI1306"/>
    <mergeCell ref="AJ1306:AM1306"/>
    <mergeCell ref="AG1310:AI1310"/>
    <mergeCell ref="AJ1310:AM1310"/>
    <mergeCell ref="AD1338:AN1338"/>
    <mergeCell ref="AD1340:AE1340"/>
    <mergeCell ref="AG1342:AI1342"/>
    <mergeCell ref="AJ1342:AM1342"/>
    <mergeCell ref="AG1346:AI1346"/>
    <mergeCell ref="AJ1346:AM1346"/>
    <mergeCell ref="AG1348:AI1348"/>
    <mergeCell ref="AJ1348:AM1348"/>
    <mergeCell ref="AG1312:AI1312"/>
    <mergeCell ref="AJ1312:AM1312"/>
    <mergeCell ref="AD1314:AN1314"/>
    <mergeCell ref="AD1316:AE1316"/>
    <mergeCell ref="AG1318:AI1318"/>
    <mergeCell ref="AJ1318:AM1318"/>
    <mergeCell ref="AG1322:AI1322"/>
    <mergeCell ref="AJ1322:AM1322"/>
    <mergeCell ref="AG1324:AI1324"/>
    <mergeCell ref="AJ1324:AM1324"/>
    <mergeCell ref="AD1326:AN1326"/>
    <mergeCell ref="AD1328:AE1328"/>
    <mergeCell ref="AG1330:AI1330"/>
    <mergeCell ref="AJ1330:AM1330"/>
    <mergeCell ref="AG1334:AI1334"/>
    <mergeCell ref="AJ1334:AM1334"/>
    <mergeCell ref="AG1336:AI1336"/>
    <mergeCell ref="AJ1336:AM1336"/>
  </mergeCells>
  <dataValidations count="3">
    <dataValidation showInputMessage="1" showErrorMessage="1" sqref="K43:K44 K439:K440 K451:K452 K631:K632 K1159:K1160 K1327:K1328 K643:K644 K487:K488 K499:K500 K511:K512 K1303:K1304 K1135:K1136 K1339:K1340 K1267:K1268 K1171:K1172 K55:K56 K523:K524 K535:K536 K547:K548 K679:K680 K691:K692 K703:K704 K715:K716 K1183:K1184 K1003:K1004 K847:K848 K1315:K1316 K943:K944 K583:K584 K595:K596 K607:K608 K727:K728 K739:K740 K775:K776 K787:K788 K799:K800 K1051:K1052 K1147:K1148 K859:K860 K955:K956 K1195:K1196 K1039:K1040 K1207:K1208 K1219:K1220 K1231:K1232 K823:K824 K1255:K1256 K1279:K1280 K1291:K1292 K835:K836 K1015:K1016 K1027:K1028 K67:K68 K871:K872 K883:K884 K895:K896 K907:K908 K919:K920 K619:K620 K931:K932 K247:K248 K259:K260 K1063:K1064 K1075:K1076 K1087:K1088 K103:K104 K115:K116 K127:K128 K139:K140 K1099:K1100 K967:K968 K979:K980 K991:K992 K151:K152 K163:K164 K295:K296 K307:K308 K319:K320 K331:K332 K463:K464 K559:K560 K475:K476 K199:K200 K211:K212 K223:K224 K343:K344 K355:K356 K1243:K1244 K391:K392 K403:K404 K415:K416 K571:K572 K235:K236 K1111:K1112 K1123:K1124 K79:K80 K175:K176 K91:K92 K187:K188 K811:K812 K427:K428 K655:K656 K751:K752 K271:K272 K367:K368 K283:K284 K667:K668 K379:K380 K763:K764 AK43:AK44 AK439:AK440 AK451:AK452 AK631:AK632 AK1159:AK1160 AK1327:AK1328 AK643:AK644 AK487:AK488 AK499:AK500 AK511:AK512 AK1303:AK1304 AK1135:AK1136 AK1339:AK1340 AK1267:AK1268 AK1171:AK1172 AK55:AK56 AK523:AK524 AK535:AK536 AK547:AK548 AK679:AK680 AK691:AK692 AK703:AK704 AK715:AK716 AK1183:AK1184 AK1003:AK1004 AK847:AK848 AK1315:AK1316 AK943:AK944 AK583:AK584 AK595:AK596 AK607:AK608 AK727:AK728 AK739:AK740 AK775:AK776 AK787:AK788 AK799:AK800 AK1051:AK1052 AK1147:AK1148 AK859:AK860 AK955:AK956 AK1195:AK1196 AK1039:AK1040 AK1207:AK1208 AK1219:AK1220 AK1231:AK1232 AK823:AK824 AK1255:AK1256 AK1279:AK1280 AK1291:AK1292 AK835:AK836 AK1015:AK1016 AK1027:AK1028 AK67:AK68 AK871:AK872 AK883:AK884 AK895:AK896 AK907:AK908 AK919:AK920 AK619:AK620 AK931:AK932 AK247:AK248 AK259:AK260 AK1063:AK1064 AK1075:AK1076 AK1087:AK1088 AK103:AK104 AK115:AK116 AK127:AK128 AK139:AK140 AK1099:AK1100 AK967:AK968 AK979:AK980 AK991:AK992 AK151:AK152 AK163:AK164 AK295:AK296 AK307:AK308 AK319:AK320 AK331:AK332 AK463:AK464 AK559:AK560 AK475:AK476 AK199:AK200 AK211:AK212 AK223:AK224 AK343:AK344 AK355:AK356 AK1243:AK1244 AK391:AK392 AK403:AK404 AK415:AK416 AK571:AK572 AK235:AK236 AK1111:AK1112 AK1123:AK1124 AK79:AK80 AK175:AK176 AK91:AK92 AK187:AK188 AK811:AK812 AK427:AK428 AK655:AK656 AK751:AK752 AK271:AK272 AK367:AK368 AK283:AK284 AK667:AK668 AK379:AK380 AK763:AK764" xr:uid="{00000000-0002-0000-0E00-000000000000}"/>
    <dataValidation type="list" showInputMessage="1" showErrorMessage="1" sqref="F44 F1328 F1340 F1268 F1304 F1292 F1280 F1256 F1316 F1244 F440 F1172 F536 F1088 F584 F1100 F632 F728 F1076 F1136 F56 F1148 F1124 F1040 F1052 F1028 F1220 F1232 F776 F608 F800 F1208 F824 F920 F968 F1016 F1112 F1160 F992 F1184 F872 F1004 F980 F896 F908 F488 F884 F944 F152 F200 F956 F932 F1064 F620 F596 F248 F512 F524 F500 F560 F344 F392 F224 F416 F104 F236 F212 F128 F140 F116 F176 F188 F164 F572 F548 F296 F428 F404 F320 F332 F308 F368 F380 F356 F272 F284 F260 F680 F812 F848 F860 F788 F80 F92 F704 F716 F692 F752 F764 F1196 F68 F836 F740 F656 F668 F644 F464 F476 F452 AF44 AF1328 AF1340 AF1268 AF1304 AF1292 AF1280 AF1256 AF1316 AF1244 AF440 AF1172 AF536 AF1088 AF584 AF1100 AF632 AF728 AF1076 AF1136 AF56 AF1148 AF1124 AF1040 AF1052 AF1028 AF1220 AF1232 AF776 AF608 AF800 AF1208 AF824 AF920 AF968 AF1016 AF1112 AF1160 AF992 AF1184 AF872 AF1004 AF980 AF896 AF908 AF488 AF884 AF944 AF152 AF200 AF956 AF932 AF1064 AF620 AF596 AF248 AF512 AF524 AF500 AF560 AF344 AF392 AF224 AF416 AF104 AF236 AF212 AF128 AF140 AF116 AF176 AF188 AF164 AF572 AF548 AF296 AF428 AF404 AF320 AF332 AF308 AF368 AF380 AF356 AF272 AF284 AF260 AF680 AF812 AF848 AF860 AF788 AF80 AF92 AF704 AF716 AF692 AF752 AF764 AF1196 AF68 AF836 AF740 AF656 AF668 AF644 AF464 AF476 AF452" xr:uid="{00000000-0002-0000-0E00-000001000000}">
      <formula1>$P$3:$P$7</formula1>
    </dataValidation>
    <dataValidation type="list" allowBlank="1" showInputMessage="1" showErrorMessage="1" sqref="F40 AF40" xr:uid="{0999C2F1-C3CA-4AD2-9FBF-220483D25EA9}">
      <formula1>$P$9:$P$10</formula1>
    </dataValidation>
  </dataValidations>
  <pageMargins left="0.7" right="0.7" top="0.75" bottom="0.75" header="0.3" footer="0.3"/>
  <pageSetup scale="41" orientation="portrait" r:id="rId1"/>
  <headerFooter>
    <oddFooter>&amp;CTab: &amp;A&amp;RPrint Date: &amp;D</oddFooter>
  </headerFooter>
  <rowBreaks count="30" manualBreakCount="30">
    <brk id="66" min="3" max="13" man="1"/>
    <brk id="66" min="29" max="39" man="1"/>
    <brk id="131" min="3" max="13" man="1"/>
    <brk id="131" min="29" max="39" man="1"/>
    <brk id="190" min="3" max="13" man="1"/>
    <brk id="190" min="29" max="39" man="1"/>
    <brk id="240" min="3" max="13" man="1"/>
    <brk id="240" min="29" max="39" man="1"/>
    <brk id="290" min="3" max="13" man="1"/>
    <brk id="290" min="29" max="39" man="1"/>
    <brk id="343" min="3" max="13" man="1"/>
    <brk id="343" min="29" max="39" man="1"/>
    <brk id="408" min="3" max="13" man="1"/>
    <brk id="408" min="29" max="39" man="1"/>
    <brk id="458" min="3" max="13" man="1"/>
    <brk id="458" min="29" max="39" man="1"/>
    <brk id="508" min="3" max="13" man="1"/>
    <brk id="508" min="29" max="39" man="1"/>
    <brk id="558" min="3" max="13" man="1"/>
    <brk id="558" min="29" max="39" man="1"/>
    <brk id="608" min="3" max="13" man="1"/>
    <brk id="608" min="29" max="39" man="1"/>
    <brk id="658" min="3" max="13" man="1"/>
    <brk id="658" min="29" max="39" man="1"/>
    <brk id="710" min="3" max="13" man="1"/>
    <brk id="710" min="29" max="39" man="1"/>
    <brk id="774" min="3" max="13" man="1"/>
    <brk id="774" min="29" max="39" man="1"/>
    <brk id="844" min="3" max="13" man="1"/>
    <brk id="844" min="29" max="39"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B1:O46"/>
  <sheetViews>
    <sheetView showGridLines="0" view="pageBreakPreview" zoomScaleNormal="100" zoomScaleSheetLayoutView="100" workbookViewId="0">
      <selection activeCell="C8" sqref="C8:N8"/>
    </sheetView>
  </sheetViews>
  <sheetFormatPr defaultColWidth="9.109375" defaultRowHeight="14.4" x14ac:dyDescent="0.3"/>
  <cols>
    <col min="1" max="1" width="3.5546875" style="70" customWidth="1"/>
    <col min="2" max="2" width="3.44140625" style="70" customWidth="1"/>
    <col min="3" max="16384" width="9.109375" style="70"/>
  </cols>
  <sheetData>
    <row r="1" spans="2:15" ht="18" x14ac:dyDescent="0.3">
      <c r="C1" s="397" t="s">
        <v>578</v>
      </c>
      <c r="D1" s="397"/>
      <c r="E1" s="397"/>
      <c r="F1" s="397"/>
      <c r="G1" s="397"/>
      <c r="H1" s="397"/>
      <c r="I1" s="397"/>
      <c r="J1" s="397"/>
      <c r="K1" s="397"/>
      <c r="L1" s="397"/>
      <c r="M1" s="397"/>
      <c r="N1" s="397"/>
    </row>
    <row r="2" spans="2:15" ht="15.6" x14ac:dyDescent="0.3">
      <c r="B2" s="406" t="s">
        <v>670</v>
      </c>
      <c r="C2" s="406"/>
      <c r="D2" s="406"/>
      <c r="E2" s="406"/>
      <c r="F2" s="406"/>
      <c r="G2" s="406"/>
      <c r="H2" s="406"/>
      <c r="I2" s="406"/>
      <c r="J2" s="406"/>
      <c r="K2" s="406"/>
      <c r="L2" s="406"/>
      <c r="M2" s="406"/>
      <c r="N2" s="406"/>
      <c r="O2" s="71"/>
    </row>
    <row r="3" spans="2:15" ht="15" thickBot="1" x14ac:dyDescent="0.35"/>
    <row r="4" spans="2:15" ht="21" customHeight="1" thickBot="1" x14ac:dyDescent="0.35">
      <c r="B4" s="403" t="s">
        <v>72</v>
      </c>
      <c r="C4" s="404"/>
      <c r="D4" s="404"/>
      <c r="E4" s="404"/>
      <c r="F4" s="404"/>
      <c r="G4" s="404"/>
      <c r="H4" s="404"/>
      <c r="I4" s="404"/>
      <c r="J4" s="404"/>
      <c r="K4" s="404"/>
      <c r="L4" s="404"/>
      <c r="M4" s="404"/>
      <c r="N4" s="405"/>
    </row>
    <row r="6" spans="2:15" s="72" customFormat="1" ht="51.75" customHeight="1" x14ac:dyDescent="0.3">
      <c r="C6" s="398" t="s">
        <v>579</v>
      </c>
      <c r="D6" s="398"/>
      <c r="E6" s="398"/>
      <c r="F6" s="398"/>
      <c r="G6" s="398"/>
      <c r="H6" s="398"/>
      <c r="I6" s="398"/>
      <c r="J6" s="398"/>
      <c r="K6" s="398"/>
      <c r="L6" s="398"/>
      <c r="M6" s="398"/>
      <c r="N6" s="398"/>
    </row>
    <row r="7" spans="2:15" s="72" customFormat="1" ht="13.8" x14ac:dyDescent="0.3">
      <c r="C7" s="97"/>
      <c r="D7" s="97"/>
      <c r="E7" s="97"/>
      <c r="F7" s="97"/>
      <c r="G7" s="97"/>
      <c r="H7" s="97"/>
      <c r="I7" s="97"/>
      <c r="J7" s="97"/>
      <c r="K7" s="97"/>
      <c r="L7" s="97"/>
      <c r="M7" s="97"/>
      <c r="N7" s="97"/>
    </row>
    <row r="8" spans="2:15" s="72" customFormat="1" ht="33.6" customHeight="1" x14ac:dyDescent="0.3">
      <c r="C8" s="398" t="s">
        <v>580</v>
      </c>
      <c r="D8" s="398"/>
      <c r="E8" s="398"/>
      <c r="F8" s="398"/>
      <c r="G8" s="398"/>
      <c r="H8" s="398"/>
      <c r="I8" s="398"/>
      <c r="J8" s="398"/>
      <c r="K8" s="398"/>
      <c r="L8" s="398"/>
      <c r="M8" s="398"/>
      <c r="N8" s="398"/>
    </row>
    <row r="9" spans="2:15" s="72" customFormat="1" ht="16.5" customHeight="1" x14ac:dyDescent="0.3">
      <c r="C9" s="331"/>
      <c r="D9" s="331"/>
      <c r="E9" s="331"/>
      <c r="F9" s="331"/>
      <c r="G9" s="331"/>
      <c r="H9" s="331"/>
      <c r="I9" s="331"/>
      <c r="J9" s="331"/>
      <c r="K9" s="331"/>
      <c r="L9" s="331"/>
      <c r="M9" s="331"/>
      <c r="N9" s="331"/>
    </row>
    <row r="10" spans="2:15" s="72" customFormat="1" ht="34.5" customHeight="1" x14ac:dyDescent="0.3">
      <c r="C10" s="398" t="s">
        <v>86</v>
      </c>
      <c r="D10" s="398"/>
      <c r="E10" s="398"/>
      <c r="F10" s="398"/>
      <c r="G10" s="398"/>
      <c r="H10" s="398"/>
      <c r="I10" s="398"/>
      <c r="J10" s="398"/>
      <c r="K10" s="398"/>
      <c r="L10" s="398"/>
      <c r="M10" s="398"/>
      <c r="N10" s="398"/>
    </row>
    <row r="11" spans="2:15" s="72" customFormat="1" ht="13.8" x14ac:dyDescent="0.3">
      <c r="C11" s="97"/>
      <c r="D11" s="97"/>
      <c r="E11" s="97"/>
      <c r="F11" s="97"/>
      <c r="G11" s="97"/>
      <c r="H11" s="97"/>
      <c r="I11" s="97"/>
      <c r="J11" s="97"/>
      <c r="K11" s="97"/>
      <c r="L11" s="97"/>
      <c r="M11" s="97"/>
      <c r="N11" s="97"/>
    </row>
    <row r="12" spans="2:15" s="72" customFormat="1" ht="13.8" x14ac:dyDescent="0.3">
      <c r="B12" s="98">
        <v>1</v>
      </c>
      <c r="C12" s="399" t="s">
        <v>581</v>
      </c>
      <c r="D12" s="399"/>
      <c r="E12" s="399"/>
      <c r="F12" s="399"/>
      <c r="G12" s="399"/>
      <c r="H12" s="399"/>
      <c r="I12" s="399"/>
      <c r="J12" s="399"/>
      <c r="K12" s="399"/>
      <c r="L12" s="399"/>
      <c r="M12" s="399"/>
      <c r="N12" s="399"/>
    </row>
    <row r="13" spans="2:15" s="72" customFormat="1" ht="13.8" x14ac:dyDescent="0.3">
      <c r="B13" s="98"/>
      <c r="C13" s="99" t="s">
        <v>582</v>
      </c>
      <c r="D13" s="332"/>
      <c r="E13" s="332"/>
      <c r="F13" s="332"/>
      <c r="G13" s="332"/>
      <c r="H13" s="332"/>
      <c r="I13" s="332"/>
      <c r="J13" s="332"/>
      <c r="K13" s="332"/>
      <c r="L13" s="332"/>
      <c r="M13" s="332"/>
      <c r="N13" s="332"/>
    </row>
    <row r="14" spans="2:15" s="72" customFormat="1" ht="13.8" x14ac:dyDescent="0.3">
      <c r="B14" s="98"/>
      <c r="C14" s="99"/>
      <c r="D14" s="332"/>
      <c r="E14" s="332"/>
      <c r="F14" s="332"/>
      <c r="G14" s="332"/>
      <c r="H14" s="332"/>
      <c r="I14" s="332"/>
      <c r="J14" s="332"/>
      <c r="K14" s="332"/>
      <c r="L14" s="332"/>
      <c r="M14" s="332"/>
      <c r="N14" s="332"/>
    </row>
    <row r="15" spans="2:15" s="72" customFormat="1" ht="13.8" x14ac:dyDescent="0.3">
      <c r="C15" s="99" t="s">
        <v>72</v>
      </c>
      <c r="D15" s="99"/>
      <c r="E15" s="99"/>
      <c r="J15" s="99"/>
    </row>
    <row r="16" spans="2:15" s="72" customFormat="1" ht="13.8" x14ac:dyDescent="0.3">
      <c r="C16" s="99" t="s">
        <v>77</v>
      </c>
      <c r="D16" s="99"/>
      <c r="E16" s="99"/>
      <c r="J16" s="99"/>
    </row>
    <row r="17" spans="2:14" s="72" customFormat="1" ht="15.6" customHeight="1" x14ac:dyDescent="0.3">
      <c r="C17" s="99" t="s">
        <v>65</v>
      </c>
      <c r="D17" s="99"/>
      <c r="E17" s="99"/>
      <c r="F17" s="99"/>
      <c r="J17" s="99"/>
    </row>
    <row r="18" spans="2:14" s="72" customFormat="1" ht="13.8" x14ac:dyDescent="0.3">
      <c r="C18" s="99" t="s">
        <v>78</v>
      </c>
      <c r="D18" s="99"/>
      <c r="E18" s="99"/>
      <c r="F18" s="99"/>
      <c r="J18" s="99"/>
    </row>
    <row r="19" spans="2:14" s="72" customFormat="1" ht="18" customHeight="1" x14ac:dyDescent="0.3">
      <c r="C19" s="72" t="s">
        <v>79</v>
      </c>
      <c r="D19" s="99"/>
      <c r="E19" s="99"/>
      <c r="F19" s="99"/>
      <c r="J19" s="99"/>
    </row>
    <row r="20" spans="2:14" s="72" customFormat="1" ht="13.8" x14ac:dyDescent="0.3"/>
    <row r="21" spans="2:14" s="72" customFormat="1" ht="13.8" x14ac:dyDescent="0.3">
      <c r="B21" s="98">
        <v>2</v>
      </c>
      <c r="C21" s="100" t="s">
        <v>583</v>
      </c>
    </row>
    <row r="22" spans="2:14" s="72" customFormat="1" ht="13.8" x14ac:dyDescent="0.3">
      <c r="B22" s="98"/>
      <c r="C22" s="398" t="s">
        <v>173</v>
      </c>
      <c r="D22" s="398"/>
      <c r="E22" s="398"/>
      <c r="F22" s="398"/>
      <c r="G22" s="398"/>
      <c r="H22" s="398"/>
      <c r="I22" s="398"/>
      <c r="J22" s="398"/>
      <c r="K22" s="398"/>
      <c r="L22" s="398"/>
      <c r="M22" s="398"/>
      <c r="N22" s="398"/>
    </row>
    <row r="23" spans="2:14" s="72" customFormat="1" ht="13.8" x14ac:dyDescent="0.3">
      <c r="B23" s="98"/>
      <c r="C23" s="100"/>
    </row>
    <row r="24" spans="2:14" s="72" customFormat="1" ht="13.8" x14ac:dyDescent="0.3">
      <c r="B24" s="101"/>
      <c r="C24" s="398" t="s">
        <v>148</v>
      </c>
      <c r="D24" s="398"/>
      <c r="E24" s="398"/>
      <c r="F24" s="398"/>
      <c r="G24" s="398"/>
      <c r="H24" s="398"/>
      <c r="I24" s="398"/>
      <c r="J24" s="398"/>
      <c r="K24" s="398"/>
      <c r="L24" s="398"/>
      <c r="M24" s="398"/>
      <c r="N24" s="398"/>
    </row>
    <row r="25" spans="2:14" s="72" customFormat="1" ht="13.8" x14ac:dyDescent="0.3">
      <c r="B25" s="101"/>
      <c r="C25" s="331"/>
      <c r="D25" s="331"/>
      <c r="E25" s="331"/>
      <c r="F25" s="331"/>
      <c r="G25" s="331"/>
      <c r="H25" s="331"/>
      <c r="I25" s="331"/>
      <c r="J25" s="331"/>
      <c r="K25" s="331"/>
      <c r="L25" s="331"/>
      <c r="M25" s="331"/>
      <c r="N25" s="331"/>
    </row>
    <row r="26" spans="2:14" s="72" customFormat="1" ht="13.8" x14ac:dyDescent="0.3">
      <c r="C26" s="99" t="s">
        <v>77</v>
      </c>
      <c r="D26" s="99"/>
      <c r="E26" s="99"/>
      <c r="J26" s="99"/>
    </row>
    <row r="27" spans="2:14" s="72" customFormat="1" ht="17.100000000000001" customHeight="1" x14ac:dyDescent="0.3">
      <c r="C27" s="99" t="s">
        <v>83</v>
      </c>
      <c r="D27" s="99"/>
      <c r="E27" s="99"/>
      <c r="F27" s="99"/>
      <c r="J27" s="99"/>
    </row>
    <row r="28" spans="2:14" s="72" customFormat="1" ht="13.8" x14ac:dyDescent="0.3">
      <c r="C28" s="99" t="s">
        <v>78</v>
      </c>
      <c r="D28" s="99"/>
      <c r="E28" s="99"/>
      <c r="F28" s="99"/>
      <c r="J28" s="99"/>
    </row>
    <row r="29" spans="2:14" s="72" customFormat="1" ht="15.6" customHeight="1" x14ac:dyDescent="0.3">
      <c r="C29" s="72" t="s">
        <v>456</v>
      </c>
      <c r="D29" s="99"/>
      <c r="E29" s="99"/>
      <c r="F29" s="99"/>
      <c r="J29" s="99"/>
    </row>
    <row r="30" spans="2:14" s="72" customFormat="1" ht="13.8" x14ac:dyDescent="0.3">
      <c r="D30" s="99"/>
      <c r="E30" s="99"/>
      <c r="F30" s="99"/>
      <c r="J30" s="99"/>
    </row>
    <row r="31" spans="2:14" s="72" customFormat="1" ht="13.8" x14ac:dyDescent="0.3">
      <c r="C31" s="102" t="s">
        <v>88</v>
      </c>
      <c r="D31" s="99"/>
      <c r="E31" s="99"/>
      <c r="F31" s="99"/>
      <c r="J31" s="99"/>
    </row>
    <row r="32" spans="2:14" s="72" customFormat="1" ht="13.8" x14ac:dyDescent="0.3">
      <c r="B32" s="101"/>
      <c r="C32" s="331"/>
      <c r="D32" s="331"/>
      <c r="E32" s="331"/>
      <c r="F32" s="331"/>
      <c r="G32" s="331"/>
      <c r="H32" s="331"/>
      <c r="I32" s="331"/>
      <c r="J32" s="331"/>
      <c r="K32" s="331"/>
      <c r="L32" s="331"/>
      <c r="M32" s="331"/>
      <c r="N32" s="331"/>
    </row>
    <row r="33" spans="2:14" s="72" customFormat="1" ht="13.8" x14ac:dyDescent="0.3">
      <c r="B33" s="98">
        <v>3</v>
      </c>
      <c r="C33" s="103" t="s">
        <v>80</v>
      </c>
    </row>
    <row r="34" spans="2:14" s="72" customFormat="1" ht="33.75" customHeight="1" x14ac:dyDescent="0.3">
      <c r="B34" s="104"/>
      <c r="C34" s="398" t="s">
        <v>84</v>
      </c>
      <c r="D34" s="400"/>
      <c r="E34" s="400"/>
      <c r="F34" s="400"/>
      <c r="G34" s="400"/>
      <c r="H34" s="400"/>
      <c r="I34" s="400"/>
      <c r="J34" s="400"/>
      <c r="K34" s="400"/>
      <c r="L34" s="400"/>
      <c r="M34" s="400"/>
      <c r="N34" s="400"/>
    </row>
    <row r="35" spans="2:14" s="72" customFormat="1" ht="13.8" x14ac:dyDescent="0.3">
      <c r="B35" s="104"/>
      <c r="C35" s="331"/>
      <c r="D35" s="333"/>
      <c r="E35" s="333"/>
      <c r="F35" s="333"/>
      <c r="G35" s="333"/>
      <c r="H35" s="333"/>
      <c r="I35" s="333"/>
      <c r="J35" s="333"/>
      <c r="K35" s="333"/>
      <c r="L35" s="333"/>
      <c r="M35" s="333"/>
      <c r="N35" s="333"/>
    </row>
    <row r="36" spans="2:14" s="72" customFormat="1" ht="13.8" x14ac:dyDescent="0.3">
      <c r="B36" s="104"/>
      <c r="C36" s="105"/>
      <c r="D36" s="72" t="s">
        <v>81</v>
      </c>
      <c r="E36" s="333"/>
      <c r="F36" s="333"/>
      <c r="G36" s="333"/>
      <c r="H36" s="333"/>
      <c r="I36" s="333"/>
      <c r="J36" s="333"/>
      <c r="K36" s="333"/>
      <c r="L36" s="333"/>
      <c r="M36" s="333"/>
      <c r="N36" s="333"/>
    </row>
    <row r="37" spans="2:14" s="72" customFormat="1" ht="13.8" x14ac:dyDescent="0.3">
      <c r="B37" s="104"/>
      <c r="C37" s="106"/>
      <c r="D37" s="72" t="s">
        <v>82</v>
      </c>
      <c r="E37" s="333"/>
      <c r="F37" s="333"/>
      <c r="G37" s="333"/>
      <c r="H37" s="333"/>
      <c r="I37" s="333"/>
      <c r="J37" s="333"/>
      <c r="K37" s="333"/>
      <c r="L37" s="333"/>
      <c r="M37" s="333"/>
      <c r="N37" s="333"/>
    </row>
    <row r="38" spans="2:14" s="72" customFormat="1" ht="13.8" x14ac:dyDescent="0.3">
      <c r="B38" s="107"/>
    </row>
    <row r="39" spans="2:14" s="72" customFormat="1" ht="13.8" x14ac:dyDescent="0.3">
      <c r="B39" s="98">
        <v>4</v>
      </c>
      <c r="C39" s="103" t="s">
        <v>73</v>
      </c>
    </row>
    <row r="40" spans="2:14" s="72" customFormat="1" ht="33.9" customHeight="1" x14ac:dyDescent="0.3">
      <c r="B40" s="104"/>
      <c r="C40" s="398" t="s">
        <v>87</v>
      </c>
      <c r="D40" s="398"/>
      <c r="E40" s="398"/>
      <c r="F40" s="398"/>
      <c r="G40" s="398"/>
      <c r="H40" s="398"/>
      <c r="I40" s="398"/>
      <c r="J40" s="398"/>
      <c r="K40" s="398"/>
      <c r="L40" s="398"/>
      <c r="M40" s="398"/>
      <c r="N40" s="398"/>
    </row>
    <row r="41" spans="2:14" s="72" customFormat="1" ht="13.8" x14ac:dyDescent="0.3">
      <c r="B41" s="107"/>
    </row>
    <row r="42" spans="2:14" s="72" customFormat="1" ht="13.8" x14ac:dyDescent="0.3">
      <c r="B42" s="98">
        <v>5</v>
      </c>
      <c r="C42" s="103" t="s">
        <v>74</v>
      </c>
    </row>
    <row r="43" spans="2:14" ht="15.9" customHeight="1" x14ac:dyDescent="0.3">
      <c r="B43" s="108"/>
      <c r="C43" s="398" t="s">
        <v>75</v>
      </c>
      <c r="D43" s="400"/>
      <c r="E43" s="400"/>
      <c r="F43" s="400"/>
      <c r="G43" s="400"/>
      <c r="H43" s="400"/>
      <c r="I43" s="400"/>
      <c r="J43" s="400"/>
      <c r="K43" s="400"/>
      <c r="L43" s="400"/>
      <c r="M43" s="400"/>
      <c r="N43" s="400"/>
    </row>
    <row r="44" spans="2:14" x14ac:dyDescent="0.3">
      <c r="B44" s="108"/>
    </row>
    <row r="45" spans="2:14" ht="15.6" x14ac:dyDescent="0.3">
      <c r="B45" s="109"/>
      <c r="C45" s="401"/>
      <c r="D45" s="402"/>
      <c r="E45" s="402"/>
      <c r="F45" s="402"/>
      <c r="G45" s="402"/>
      <c r="H45" s="402"/>
      <c r="I45" s="402"/>
      <c r="J45" s="402"/>
      <c r="K45" s="402"/>
      <c r="L45" s="402"/>
      <c r="M45" s="402"/>
      <c r="N45" s="402"/>
    </row>
    <row r="46" spans="2:14" ht="20.399999999999999" customHeight="1" x14ac:dyDescent="0.3">
      <c r="B46" s="396" t="s">
        <v>103</v>
      </c>
      <c r="C46" s="396"/>
      <c r="D46" s="396"/>
      <c r="E46" s="396"/>
      <c r="F46" s="396"/>
      <c r="G46" s="396"/>
      <c r="H46" s="396"/>
      <c r="I46" s="396"/>
      <c r="J46" s="396"/>
      <c r="K46" s="396"/>
      <c r="L46" s="396"/>
      <c r="M46" s="396"/>
      <c r="N46" s="396"/>
    </row>
  </sheetData>
  <sheetProtection algorithmName="SHA-512" hashValue="nIFwp54ZH5f9G+1smQ6YrpnHR+K5xccipZAUzb/j5HENq2qfNRIJubmepeDojVZxg/pdKlHyjGIjiNWrltAZ2Q==" saltValue="QVfXe4eKfKlzVXgCC/sL+Q==" spinCount="100000" sheet="1" selectLockedCells="1"/>
  <mergeCells count="14">
    <mergeCell ref="B46:N46"/>
    <mergeCell ref="C1:N1"/>
    <mergeCell ref="C6:N6"/>
    <mergeCell ref="C8:N8"/>
    <mergeCell ref="C12:N12"/>
    <mergeCell ref="C10:N10"/>
    <mergeCell ref="C24:N24"/>
    <mergeCell ref="C34:N34"/>
    <mergeCell ref="C40:N40"/>
    <mergeCell ref="C43:N43"/>
    <mergeCell ref="C45:N45"/>
    <mergeCell ref="C22:N22"/>
    <mergeCell ref="B4:N4"/>
    <mergeCell ref="B2:N2"/>
  </mergeCells>
  <pageMargins left="0.7" right="0.7" top="0.75" bottom="0.75" header="0.3" footer="0.3"/>
  <pageSetup scale="79" orientation="portrait" r:id="rId1"/>
  <headerFooter>
    <oddFooter>&amp;LTab: &amp;A&amp;RPrint Date: &amp;D</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dimension ref="B1:AB40"/>
  <sheetViews>
    <sheetView showGridLines="0" view="pageBreakPreview" zoomScaleNormal="100" zoomScaleSheetLayoutView="100" workbookViewId="0">
      <selection activeCell="F21" sqref="F21"/>
    </sheetView>
  </sheetViews>
  <sheetFormatPr defaultColWidth="9.109375" defaultRowHeight="15.6" x14ac:dyDescent="0.3"/>
  <cols>
    <col min="1" max="1" width="3.5546875" style="1" customWidth="1"/>
    <col min="2" max="2" width="9.109375" style="1" hidden="1" customWidth="1"/>
    <col min="3" max="3" width="9.109375" style="30" hidden="1" customWidth="1"/>
    <col min="4" max="4" width="9.109375" style="28" hidden="1" customWidth="1"/>
    <col min="5" max="6" width="4.88671875" style="1" customWidth="1"/>
    <col min="7" max="14" width="12.44140625" style="1" customWidth="1"/>
    <col min="15" max="15" width="3.5546875" style="1" customWidth="1"/>
    <col min="16" max="16" width="11.5546875" style="1" hidden="1" customWidth="1"/>
    <col min="17" max="17" width="9.109375" style="30" hidden="1" customWidth="1"/>
    <col min="18" max="18" width="9.109375" style="28" hidden="1" customWidth="1"/>
    <col min="19" max="20" width="4.88671875" style="1" customWidth="1"/>
    <col min="21" max="28" width="12.44140625" style="1" customWidth="1"/>
    <col min="29" max="29" width="9.109375" style="1" customWidth="1"/>
    <col min="30" max="16384" width="9.109375" style="1"/>
  </cols>
  <sheetData>
    <row r="1" spans="5:28" x14ac:dyDescent="0.3">
      <c r="P1" s="50"/>
    </row>
    <row r="2" spans="5:28" x14ac:dyDescent="0.3">
      <c r="E2" s="410" t="s">
        <v>150</v>
      </c>
      <c r="F2" s="410"/>
      <c r="G2" s="410"/>
      <c r="H2" s="410"/>
      <c r="I2" s="410"/>
      <c r="J2" s="410"/>
      <c r="K2" s="410"/>
      <c r="L2" s="410"/>
      <c r="M2" s="410"/>
      <c r="N2" s="410"/>
      <c r="O2" s="230"/>
      <c r="P2" s="50"/>
      <c r="S2" s="410" t="s">
        <v>150</v>
      </c>
      <c r="T2" s="410"/>
      <c r="U2" s="410"/>
      <c r="V2" s="410"/>
      <c r="W2" s="410"/>
      <c r="X2" s="410"/>
      <c r="Y2" s="410"/>
      <c r="Z2" s="410"/>
      <c r="AA2" s="410"/>
      <c r="AB2" s="410"/>
    </row>
    <row r="3" spans="5:28" ht="16.2" thickBot="1" x14ac:dyDescent="0.35">
      <c r="E3" s="411" t="s">
        <v>53</v>
      </c>
      <c r="F3" s="411"/>
      <c r="G3" s="411"/>
      <c r="H3" s="411"/>
      <c r="I3" s="411"/>
      <c r="J3" s="411"/>
      <c r="K3" s="411"/>
      <c r="L3" s="411"/>
      <c r="M3" s="411"/>
      <c r="N3" s="411"/>
      <c r="O3" s="2"/>
      <c r="P3" s="50"/>
      <c r="S3" s="411" t="s">
        <v>54</v>
      </c>
      <c r="T3" s="411"/>
      <c r="U3" s="411"/>
      <c r="V3" s="411"/>
      <c r="W3" s="411"/>
      <c r="X3" s="411"/>
      <c r="Y3" s="411"/>
      <c r="Z3" s="411"/>
      <c r="AA3" s="411"/>
      <c r="AB3" s="411"/>
    </row>
    <row r="4" spans="5:28" x14ac:dyDescent="0.3">
      <c r="E4" s="2"/>
      <c r="F4" s="2"/>
      <c r="G4" s="2"/>
      <c r="H4" s="2"/>
      <c r="I4" s="2"/>
      <c r="J4" s="2"/>
      <c r="K4" s="2"/>
      <c r="L4" s="2"/>
      <c r="M4" s="2"/>
      <c r="N4" s="2"/>
      <c r="O4" s="2"/>
      <c r="P4" s="50"/>
      <c r="S4" s="2"/>
      <c r="T4" s="2"/>
      <c r="U4" s="2"/>
      <c r="V4" s="2"/>
      <c r="W4" s="2"/>
      <c r="X4" s="2"/>
      <c r="Y4" s="2"/>
      <c r="Z4" s="2"/>
      <c r="AA4" s="2"/>
      <c r="AB4" s="2"/>
    </row>
    <row r="5" spans="5:28" x14ac:dyDescent="0.3">
      <c r="E5" s="2"/>
      <c r="F5" s="2"/>
      <c r="H5" s="56" t="s">
        <v>0</v>
      </c>
      <c r="I5" s="21" t="str">
        <f>IF(Summary!$E$5="","",Summary!$E$5)</f>
        <v/>
      </c>
      <c r="J5" s="86"/>
      <c r="K5" s="86"/>
      <c r="L5" s="86"/>
      <c r="M5" s="86"/>
      <c r="N5" s="2"/>
      <c r="O5" s="2"/>
      <c r="P5" s="50"/>
      <c r="S5" s="2"/>
      <c r="T5" s="2"/>
      <c r="V5" s="56" t="s">
        <v>0</v>
      </c>
      <c r="W5" s="21" t="str">
        <f>IF(Summary!$S$5="","",Summary!$S$5)</f>
        <v/>
      </c>
      <c r="X5" s="86"/>
      <c r="Y5" s="86"/>
      <c r="Z5" s="86"/>
      <c r="AA5" s="86"/>
      <c r="AB5" s="2"/>
    </row>
    <row r="6" spans="5:28" x14ac:dyDescent="0.3">
      <c r="H6" s="56" t="s">
        <v>1</v>
      </c>
      <c r="I6" s="515" t="str">
        <f>IF(Summary!E6="","",Summary!E6)</f>
        <v/>
      </c>
      <c r="J6" s="516"/>
      <c r="K6" s="516"/>
      <c r="L6" s="516"/>
      <c r="M6" s="517"/>
      <c r="P6" s="50"/>
      <c r="V6" s="56" t="s">
        <v>1</v>
      </c>
      <c r="W6" s="515" t="str">
        <f>IF(Summary!$S6="","",Summary!$S6)</f>
        <v/>
      </c>
      <c r="X6" s="516"/>
      <c r="Y6" s="516"/>
      <c r="Z6" s="516"/>
      <c r="AA6" s="517"/>
    </row>
    <row r="7" spans="5:28" x14ac:dyDescent="0.3">
      <c r="H7" s="56"/>
      <c r="I7" s="182"/>
      <c r="J7" s="182"/>
      <c r="K7" s="86"/>
      <c r="L7" s="86"/>
      <c r="M7" s="86"/>
      <c r="P7" s="50"/>
      <c r="V7" s="56"/>
      <c r="W7" s="182"/>
      <c r="X7" s="182"/>
      <c r="Y7" s="86"/>
      <c r="Z7" s="86"/>
      <c r="AA7" s="86"/>
    </row>
    <row r="8" spans="5:28" x14ac:dyDescent="0.3">
      <c r="H8" s="56" t="s">
        <v>48</v>
      </c>
      <c r="I8" s="518" t="str">
        <f>IF(Summary!E8="","",Summary!E8)</f>
        <v/>
      </c>
      <c r="J8" s="518"/>
      <c r="K8" s="86"/>
      <c r="L8" s="86"/>
      <c r="M8" s="86"/>
      <c r="P8" s="50"/>
      <c r="V8" s="56" t="s">
        <v>48</v>
      </c>
      <c r="W8" s="526" t="str">
        <f>IF(Summary!$S8="","",Summary!$S8)</f>
        <v/>
      </c>
      <c r="X8" s="527"/>
      <c r="Y8" s="86"/>
      <c r="Z8" s="86"/>
      <c r="AA8" s="86"/>
    </row>
    <row r="9" spans="5:28" x14ac:dyDescent="0.3">
      <c r="H9" s="56"/>
      <c r="I9" s="84"/>
      <c r="J9" s="84"/>
      <c r="K9" s="86"/>
      <c r="L9" s="86"/>
      <c r="M9" s="86"/>
      <c r="P9" s="50"/>
      <c r="V9" s="56"/>
      <c r="W9" s="84"/>
      <c r="X9" s="84"/>
      <c r="Y9" s="86"/>
      <c r="Z9" s="86"/>
      <c r="AA9" s="86"/>
    </row>
    <row r="10" spans="5:28" x14ac:dyDescent="0.3">
      <c r="H10" s="56" t="s">
        <v>45</v>
      </c>
      <c r="I10" s="23">
        <f>IF(E17="",SUM(E21:E22),0)</f>
        <v>0</v>
      </c>
      <c r="J10" s="84"/>
      <c r="K10" s="86"/>
      <c r="L10" s="86"/>
      <c r="M10" s="86"/>
      <c r="P10" s="50"/>
      <c r="V10" s="56" t="s">
        <v>46</v>
      </c>
      <c r="W10" s="23">
        <f>IF(S17="",SUM(S21:S22),0)</f>
        <v>0</v>
      </c>
      <c r="X10" s="84"/>
      <c r="Y10" s="86"/>
      <c r="Z10" s="86"/>
      <c r="AA10" s="86"/>
    </row>
    <row r="11" spans="5:28" ht="16.2" thickBot="1" x14ac:dyDescent="0.35">
      <c r="E11" s="3"/>
      <c r="F11" s="3"/>
      <c r="G11" s="3"/>
      <c r="H11" s="3"/>
      <c r="I11" s="3"/>
      <c r="J11" s="3"/>
      <c r="K11" s="3"/>
      <c r="L11" s="3"/>
      <c r="M11" s="3"/>
      <c r="N11" s="3"/>
      <c r="P11" s="50"/>
      <c r="S11" s="3"/>
      <c r="T11" s="3"/>
      <c r="U11" s="3"/>
      <c r="V11" s="3"/>
      <c r="W11" s="3"/>
      <c r="X11" s="3"/>
      <c r="Y11" s="3"/>
      <c r="Z11" s="3"/>
      <c r="AA11" s="3"/>
      <c r="AB11" s="3"/>
    </row>
    <row r="12" spans="5:28" x14ac:dyDescent="0.3">
      <c r="P12" s="50"/>
    </row>
    <row r="13" spans="5:28" x14ac:dyDescent="0.3">
      <c r="E13" s="4"/>
      <c r="F13" s="4"/>
      <c r="G13" s="4"/>
      <c r="H13" s="4"/>
      <c r="I13" s="4"/>
      <c r="J13" s="4"/>
      <c r="K13" s="4"/>
      <c r="L13" s="4"/>
      <c r="M13" s="4"/>
      <c r="N13" s="4"/>
      <c r="O13" s="4"/>
      <c r="P13" s="50"/>
      <c r="S13" s="4"/>
      <c r="T13" s="4"/>
      <c r="U13" s="4"/>
      <c r="V13" s="4"/>
      <c r="W13" s="4"/>
      <c r="X13" s="4"/>
      <c r="Y13" s="4"/>
      <c r="Z13" s="4"/>
      <c r="AA13" s="4"/>
      <c r="AB13" s="4"/>
    </row>
    <row r="14" spans="5:28" ht="42.75" customHeight="1" x14ac:dyDescent="0.3">
      <c r="E14" s="434" t="s">
        <v>634</v>
      </c>
      <c r="F14" s="434"/>
      <c r="G14" s="434"/>
      <c r="H14" s="434"/>
      <c r="I14" s="434"/>
      <c r="J14" s="434"/>
      <c r="K14" s="434"/>
      <c r="L14" s="434"/>
      <c r="M14" s="434"/>
      <c r="N14" s="434"/>
      <c r="O14" s="183"/>
      <c r="P14" s="50"/>
      <c r="S14" s="434" t="s">
        <v>634</v>
      </c>
      <c r="T14" s="434"/>
      <c r="U14" s="434"/>
      <c r="V14" s="434"/>
      <c r="W14" s="434"/>
      <c r="X14" s="434"/>
      <c r="Y14" s="434"/>
      <c r="Z14" s="434"/>
      <c r="AA14" s="434"/>
      <c r="AB14" s="434"/>
    </row>
    <row r="15" spans="5:28" ht="48" customHeight="1" x14ac:dyDescent="0.3">
      <c r="E15" s="434" t="s">
        <v>635</v>
      </c>
      <c r="F15" s="539"/>
      <c r="G15" s="539"/>
      <c r="H15" s="539"/>
      <c r="I15" s="539"/>
      <c r="J15" s="539"/>
      <c r="K15" s="539"/>
      <c r="L15" s="539"/>
      <c r="M15" s="539"/>
      <c r="N15" s="539"/>
      <c r="P15" s="50"/>
      <c r="S15" s="434" t="s">
        <v>635</v>
      </c>
      <c r="T15" s="539"/>
      <c r="U15" s="539"/>
      <c r="V15" s="539"/>
      <c r="W15" s="539"/>
      <c r="X15" s="539"/>
      <c r="Y15" s="539"/>
      <c r="Z15" s="539"/>
      <c r="AA15" s="539"/>
      <c r="AB15" s="539"/>
    </row>
    <row r="16" spans="5:28" x14ac:dyDescent="0.3">
      <c r="P16" s="50"/>
    </row>
    <row r="17" spans="3:28" x14ac:dyDescent="0.3">
      <c r="D17" s="185"/>
      <c r="E17" s="534" t="str">
        <f>IF((COUNTIF(F21:F22,"X")&gt;1),"ERROR: SELECT ONLY ONE OPTION","")</f>
        <v/>
      </c>
      <c r="F17" s="534"/>
      <c r="G17" s="534"/>
      <c r="H17" s="534"/>
      <c r="I17" s="534"/>
      <c r="J17" s="534"/>
      <c r="K17" s="534"/>
      <c r="L17" s="534"/>
      <c r="M17" s="534"/>
      <c r="N17" s="534"/>
      <c r="O17" s="346"/>
      <c r="P17" s="50"/>
      <c r="R17" s="185"/>
      <c r="S17" s="534" t="str">
        <f>IF((COUNTIF(T21:T22,"X")&gt;1),"ERROR: SELECT ONLY ONE OPTION","")</f>
        <v/>
      </c>
      <c r="T17" s="534"/>
      <c r="U17" s="534"/>
      <c r="V17" s="534"/>
      <c r="W17" s="534"/>
      <c r="X17" s="534"/>
      <c r="Y17" s="534"/>
      <c r="Z17" s="534"/>
      <c r="AA17" s="534"/>
      <c r="AB17" s="534"/>
    </row>
    <row r="18" spans="3:28" x14ac:dyDescent="0.3">
      <c r="D18" s="185" t="s">
        <v>3</v>
      </c>
      <c r="P18" s="50"/>
      <c r="R18" s="185" t="s">
        <v>3</v>
      </c>
    </row>
    <row r="19" spans="3:28" ht="16.2" thickBot="1" x14ac:dyDescent="0.35">
      <c r="E19" s="407" t="s">
        <v>136</v>
      </c>
      <c r="F19" s="407"/>
      <c r="G19" s="407"/>
      <c r="H19" s="407"/>
      <c r="I19" s="407"/>
      <c r="J19" s="407"/>
      <c r="K19" s="407"/>
      <c r="L19" s="407"/>
      <c r="M19" s="407"/>
      <c r="N19" s="407"/>
      <c r="O19" s="230"/>
      <c r="P19" s="50"/>
      <c r="S19" s="407" t="s">
        <v>136</v>
      </c>
      <c r="T19" s="407"/>
      <c r="U19" s="407"/>
      <c r="V19" s="407"/>
      <c r="W19" s="407"/>
      <c r="X19" s="407"/>
      <c r="Y19" s="407"/>
      <c r="Z19" s="407"/>
      <c r="AA19" s="407"/>
      <c r="AB19" s="407"/>
    </row>
    <row r="20" spans="3:28" x14ac:dyDescent="0.3">
      <c r="C20" s="342"/>
      <c r="D20" s="74" t="s">
        <v>52</v>
      </c>
      <c r="G20" s="7"/>
      <c r="H20" s="7"/>
      <c r="I20" s="7"/>
      <c r="J20" s="7"/>
      <c r="K20" s="7"/>
      <c r="L20" s="7"/>
      <c r="M20" s="7"/>
      <c r="N20" s="7"/>
      <c r="O20" s="7"/>
      <c r="P20" s="50"/>
      <c r="Q20" s="342"/>
      <c r="R20" s="74" t="s">
        <v>52</v>
      </c>
      <c r="U20" s="7"/>
      <c r="V20" s="7"/>
      <c r="W20" s="7"/>
      <c r="X20" s="7"/>
      <c r="Y20" s="7"/>
      <c r="Z20" s="7"/>
      <c r="AA20" s="7"/>
      <c r="AB20" s="7"/>
    </row>
    <row r="21" spans="3:28" ht="34.35" customHeight="1" x14ac:dyDescent="0.3">
      <c r="C21" s="28"/>
      <c r="D21" s="48">
        <v>1</v>
      </c>
      <c r="E21" s="167" t="str">
        <f>IF(F21="X",D21,"")</f>
        <v/>
      </c>
      <c r="F21" s="27"/>
      <c r="G21" s="473" t="s">
        <v>284</v>
      </c>
      <c r="H21" s="474"/>
      <c r="I21" s="474"/>
      <c r="J21" s="474"/>
      <c r="K21" s="474"/>
      <c r="L21" s="474"/>
      <c r="M21" s="474"/>
      <c r="N21" s="474"/>
      <c r="O21" s="80"/>
      <c r="Q21" s="28"/>
      <c r="R21" s="48">
        <v>1</v>
      </c>
      <c r="S21" s="167" t="str">
        <f>IF(T21="X",R21,"")</f>
        <v/>
      </c>
      <c r="T21" s="77"/>
      <c r="U21" s="473" t="s">
        <v>542</v>
      </c>
      <c r="V21" s="474"/>
      <c r="W21" s="474"/>
      <c r="X21" s="474"/>
      <c r="Y21" s="474"/>
      <c r="Z21" s="474"/>
      <c r="AA21" s="474"/>
      <c r="AB21" s="474"/>
    </row>
    <row r="22" spans="3:28" ht="36" customHeight="1" x14ac:dyDescent="0.3">
      <c r="C22" s="28"/>
      <c r="D22" s="48">
        <v>2</v>
      </c>
      <c r="E22" s="167" t="str">
        <f>IF(F22="X",D22,"")</f>
        <v/>
      </c>
      <c r="F22" s="27"/>
      <c r="G22" s="473" t="s">
        <v>283</v>
      </c>
      <c r="H22" s="474"/>
      <c r="I22" s="474"/>
      <c r="J22" s="474"/>
      <c r="K22" s="474"/>
      <c r="L22" s="474"/>
      <c r="M22" s="474"/>
      <c r="N22" s="474"/>
      <c r="O22" s="80"/>
      <c r="Q22" s="28"/>
      <c r="R22" s="48">
        <v>2</v>
      </c>
      <c r="S22" s="167" t="str">
        <f>IF(T22="X",R22,"")</f>
        <v/>
      </c>
      <c r="T22" s="77"/>
      <c r="U22" s="473" t="s">
        <v>543</v>
      </c>
      <c r="V22" s="474"/>
      <c r="W22" s="474"/>
      <c r="X22" s="474"/>
      <c r="Y22" s="474"/>
      <c r="Z22" s="474"/>
      <c r="AA22" s="474"/>
      <c r="AB22" s="474"/>
    </row>
    <row r="23" spans="3:28" ht="15" customHeight="1" x14ac:dyDescent="0.3">
      <c r="G23" s="8"/>
      <c r="P23" s="50"/>
      <c r="U23" s="8"/>
    </row>
    <row r="24" spans="3:28" ht="15" customHeight="1" x14ac:dyDescent="0.3">
      <c r="G24" s="8"/>
      <c r="P24" s="50"/>
      <c r="U24" s="8"/>
    </row>
    <row r="25" spans="3:28" ht="15" customHeight="1" x14ac:dyDescent="0.3">
      <c r="G25" s="8"/>
      <c r="P25" s="50"/>
      <c r="U25" s="8"/>
    </row>
    <row r="26" spans="3:28" ht="15" customHeight="1" x14ac:dyDescent="0.3">
      <c r="G26" s="8"/>
      <c r="P26" s="50"/>
      <c r="U26" s="8"/>
    </row>
    <row r="27" spans="3:28" ht="15" customHeight="1" x14ac:dyDescent="0.3">
      <c r="G27" s="8"/>
      <c r="P27" s="50"/>
      <c r="U27" s="8"/>
    </row>
    <row r="28" spans="3:28" x14ac:dyDescent="0.3">
      <c r="G28" s="8"/>
      <c r="P28" s="50"/>
      <c r="U28" s="8"/>
    </row>
    <row r="29" spans="3:28" x14ac:dyDescent="0.3">
      <c r="G29" s="8"/>
      <c r="P29" s="50"/>
      <c r="U29" s="8"/>
    </row>
    <row r="30" spans="3:28" x14ac:dyDescent="0.3">
      <c r="G30" s="8"/>
      <c r="P30" s="50"/>
      <c r="U30" s="8"/>
    </row>
    <row r="31" spans="3:28" x14ac:dyDescent="0.3">
      <c r="G31" s="8"/>
      <c r="P31" s="50"/>
      <c r="U31" s="8"/>
    </row>
    <row r="32" spans="3:28" x14ac:dyDescent="0.3">
      <c r="G32" s="8"/>
      <c r="P32" s="50"/>
      <c r="U32" s="8"/>
    </row>
    <row r="33" spans="3:28" s="8" customFormat="1" x14ac:dyDescent="0.3">
      <c r="C33" s="31"/>
      <c r="D33" s="28"/>
      <c r="P33" s="51"/>
      <c r="Q33" s="31"/>
      <c r="R33" s="28"/>
    </row>
    <row r="34" spans="3:28" ht="48.75" customHeight="1" x14ac:dyDescent="0.3">
      <c r="E34" s="537"/>
      <c r="F34" s="537"/>
      <c r="G34" s="537"/>
      <c r="H34" s="537"/>
      <c r="I34" s="537"/>
      <c r="J34" s="537"/>
      <c r="K34" s="537"/>
      <c r="L34" s="537"/>
      <c r="M34" s="537"/>
      <c r="N34" s="537"/>
      <c r="O34" s="334"/>
      <c r="P34" s="50"/>
      <c r="S34" s="537"/>
      <c r="T34" s="537"/>
      <c r="U34" s="537"/>
      <c r="V34" s="537"/>
      <c r="W34" s="537"/>
      <c r="X34" s="537"/>
      <c r="Y34" s="537"/>
      <c r="Z34" s="537"/>
      <c r="AA34" s="537"/>
      <c r="AB34" s="537"/>
    </row>
    <row r="35" spans="3:28" s="8" customFormat="1" ht="62.25" customHeight="1" x14ac:dyDescent="0.3">
      <c r="C35" s="31"/>
      <c r="D35" s="28"/>
      <c r="E35" s="537"/>
      <c r="F35" s="537"/>
      <c r="G35" s="537"/>
      <c r="H35" s="537"/>
      <c r="I35" s="537"/>
      <c r="J35" s="537"/>
      <c r="K35" s="537"/>
      <c r="L35" s="537"/>
      <c r="M35" s="537"/>
      <c r="N35" s="537"/>
      <c r="O35" s="334"/>
      <c r="P35" s="51"/>
      <c r="Q35" s="31"/>
      <c r="R35" s="28"/>
      <c r="S35" s="537"/>
      <c r="T35" s="537"/>
      <c r="U35" s="537"/>
      <c r="V35" s="537"/>
      <c r="W35" s="537"/>
      <c r="X35" s="537"/>
      <c r="Y35" s="537"/>
      <c r="Z35" s="537"/>
      <c r="AA35" s="537"/>
      <c r="AB35" s="537"/>
    </row>
    <row r="36" spans="3:28" s="8" customFormat="1" x14ac:dyDescent="0.3">
      <c r="C36" s="31"/>
      <c r="D36" s="28"/>
      <c r="Q36" s="31"/>
      <c r="R36" s="28"/>
    </row>
    <row r="37" spans="3:28" s="8" customFormat="1" x14ac:dyDescent="0.3">
      <c r="C37" s="31"/>
      <c r="D37" s="28"/>
      <c r="Q37" s="31"/>
      <c r="R37" s="28"/>
    </row>
    <row r="38" spans="3:28" s="8" customFormat="1" x14ac:dyDescent="0.3">
      <c r="C38" s="31"/>
      <c r="D38" s="28"/>
      <c r="Q38" s="31"/>
      <c r="R38" s="28"/>
    </row>
    <row r="40" spans="3:28" x14ac:dyDescent="0.3">
      <c r="E40" s="9"/>
      <c r="F40" s="9"/>
      <c r="G40" s="7"/>
      <c r="S40" s="9"/>
      <c r="T40" s="9"/>
      <c r="U40" s="7"/>
    </row>
  </sheetData>
  <sheetProtection algorithmName="SHA-512" hashValue="pr12EO7SUNwZiTz8GmZaPsmJ7sIQIuNIL01hwlqIskWrLcDko0Chb2On55GcF6sGHsPl/yCPVRVsYRMbMd6NrQ==" saltValue="9Fl1GsuvDIYMezyL7cu0og==" spinCount="100000" sheet="1" objects="1" scenarios="1" selectLockedCells="1"/>
  <mergeCells count="24">
    <mergeCell ref="S17:AB17"/>
    <mergeCell ref="S19:AB19"/>
    <mergeCell ref="E34:N34"/>
    <mergeCell ref="E35:N35"/>
    <mergeCell ref="E19:N19"/>
    <mergeCell ref="G21:N21"/>
    <mergeCell ref="G22:N22"/>
    <mergeCell ref="U21:AB21"/>
    <mergeCell ref="U22:AB22"/>
    <mergeCell ref="S34:AB34"/>
    <mergeCell ref="S35:AB35"/>
    <mergeCell ref="E17:N17"/>
    <mergeCell ref="E15:N15"/>
    <mergeCell ref="S15:AB15"/>
    <mergeCell ref="E2:N2"/>
    <mergeCell ref="E3:N3"/>
    <mergeCell ref="I6:M6"/>
    <mergeCell ref="I8:J8"/>
    <mergeCell ref="E14:N14"/>
    <mergeCell ref="S2:AB2"/>
    <mergeCell ref="S3:AB3"/>
    <mergeCell ref="W6:AA6"/>
    <mergeCell ref="W8:X8"/>
    <mergeCell ref="S14:AB14"/>
  </mergeCells>
  <dataValidations count="1">
    <dataValidation type="list" allowBlank="1" showInputMessage="1" showErrorMessage="1" sqref="F21:F22 T21:T22" xr:uid="{FD7493DC-D039-4AB2-91F1-C629E682EA09}">
      <formula1>$R$17:$R$18</formula1>
    </dataValidation>
  </dataValidations>
  <pageMargins left="0.7" right="0.7" top="0.75" bottom="0.75" header="0.3" footer="0.3"/>
  <pageSetup scale="71" orientation="portrait" r:id="rId1"/>
  <headerFooter>
    <oddFooter>&amp;CTab: &amp;A&amp;RPrint Date: &amp;D</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1:AB61"/>
  <sheetViews>
    <sheetView showGridLines="0" view="pageBreakPreview" zoomScaleNormal="100" zoomScaleSheetLayoutView="100" workbookViewId="0">
      <selection activeCell="F31" sqref="F31"/>
    </sheetView>
  </sheetViews>
  <sheetFormatPr defaultColWidth="9.109375" defaultRowHeight="15.6" x14ac:dyDescent="0.3"/>
  <cols>
    <col min="1" max="1" width="3.5546875" style="1" customWidth="1"/>
    <col min="2" max="2" width="9.109375" style="1" hidden="1" customWidth="1"/>
    <col min="3" max="3" width="9.109375" style="30" hidden="1" customWidth="1"/>
    <col min="4" max="4" width="9.109375" style="28" hidden="1" customWidth="1"/>
    <col min="5" max="6" width="4.88671875" style="1" customWidth="1"/>
    <col min="7" max="14" width="12.44140625" style="1" customWidth="1"/>
    <col min="15" max="15" width="3.5546875" style="1" customWidth="1"/>
    <col min="16" max="16" width="11.5546875" style="1" hidden="1" customWidth="1"/>
    <col min="17" max="17" width="9.109375" style="30" hidden="1" customWidth="1"/>
    <col min="18" max="18" width="9.109375" style="28" hidden="1" customWidth="1"/>
    <col min="19" max="20" width="4.88671875" style="1" customWidth="1"/>
    <col min="21" max="28" width="12.44140625" style="1" customWidth="1"/>
    <col min="29" max="29" width="9.109375" style="1" customWidth="1"/>
    <col min="30" max="16384" width="9.109375" style="1"/>
  </cols>
  <sheetData>
    <row r="1" spans="5:28" x14ac:dyDescent="0.3">
      <c r="P1" s="50"/>
    </row>
    <row r="2" spans="5:28" x14ac:dyDescent="0.3">
      <c r="E2" s="410" t="s">
        <v>343</v>
      </c>
      <c r="F2" s="410"/>
      <c r="G2" s="410"/>
      <c r="H2" s="410"/>
      <c r="I2" s="410"/>
      <c r="J2" s="410"/>
      <c r="K2" s="410"/>
      <c r="L2" s="410"/>
      <c r="M2" s="410"/>
      <c r="N2" s="410"/>
      <c r="O2" s="230"/>
      <c r="P2" s="50"/>
      <c r="S2" s="410" t="s">
        <v>343</v>
      </c>
      <c r="T2" s="410"/>
      <c r="U2" s="410"/>
      <c r="V2" s="410"/>
      <c r="W2" s="410"/>
      <c r="X2" s="410"/>
      <c r="Y2" s="410"/>
      <c r="Z2" s="410"/>
      <c r="AA2" s="410"/>
      <c r="AB2" s="410"/>
    </row>
    <row r="3" spans="5:28" ht="16.2" thickBot="1" x14ac:dyDescent="0.35">
      <c r="E3" s="411" t="s">
        <v>53</v>
      </c>
      <c r="F3" s="411"/>
      <c r="G3" s="411"/>
      <c r="H3" s="411"/>
      <c r="I3" s="411"/>
      <c r="J3" s="411"/>
      <c r="K3" s="411"/>
      <c r="L3" s="411"/>
      <c r="M3" s="411"/>
      <c r="N3" s="411"/>
      <c r="O3" s="2"/>
      <c r="P3" s="50"/>
      <c r="S3" s="411" t="s">
        <v>54</v>
      </c>
      <c r="T3" s="411"/>
      <c r="U3" s="411"/>
      <c r="V3" s="411"/>
      <c r="W3" s="411"/>
      <c r="X3" s="411"/>
      <c r="Y3" s="411"/>
      <c r="Z3" s="411"/>
      <c r="AA3" s="411"/>
      <c r="AB3" s="411"/>
    </row>
    <row r="4" spans="5:28" x14ac:dyDescent="0.3">
      <c r="E4" s="2"/>
      <c r="F4" s="2"/>
      <c r="G4" s="2"/>
      <c r="H4" s="2"/>
      <c r="I4" s="2"/>
      <c r="J4" s="2"/>
      <c r="K4" s="2"/>
      <c r="L4" s="2"/>
      <c r="M4" s="2"/>
      <c r="N4" s="2"/>
      <c r="O4" s="2"/>
      <c r="P4" s="50"/>
      <c r="S4" s="2"/>
      <c r="T4" s="2"/>
      <c r="U4" s="2"/>
      <c r="V4" s="2"/>
      <c r="W4" s="2"/>
      <c r="X4" s="2"/>
      <c r="Y4" s="2"/>
      <c r="Z4" s="2"/>
      <c r="AA4" s="2"/>
      <c r="AB4" s="2"/>
    </row>
    <row r="5" spans="5:28" x14ac:dyDescent="0.3">
      <c r="E5" s="2"/>
      <c r="F5" s="2"/>
      <c r="H5" s="56" t="s">
        <v>0</v>
      </c>
      <c r="I5" s="21" t="str">
        <f>IF(Summary!$E$5="","",Summary!$E$5)</f>
        <v/>
      </c>
      <c r="J5" s="86"/>
      <c r="K5" s="86"/>
      <c r="L5" s="86"/>
      <c r="M5" s="86"/>
      <c r="N5" s="2"/>
      <c r="O5" s="2"/>
      <c r="P5" s="50"/>
      <c r="S5" s="2"/>
      <c r="T5" s="2"/>
      <c r="V5" s="56" t="s">
        <v>0</v>
      </c>
      <c r="W5" s="21" t="str">
        <f>IF(Summary!$S$5="","",Summary!$S$5)</f>
        <v/>
      </c>
      <c r="X5" s="86"/>
      <c r="Y5" s="86"/>
      <c r="Z5" s="86"/>
      <c r="AA5" s="86"/>
      <c r="AB5" s="2"/>
    </row>
    <row r="6" spans="5:28" x14ac:dyDescent="0.3">
      <c r="H6" s="56" t="s">
        <v>1</v>
      </c>
      <c r="I6" s="515" t="str">
        <f>IF(Summary!E6="","",Summary!E6)</f>
        <v/>
      </c>
      <c r="J6" s="516"/>
      <c r="K6" s="516"/>
      <c r="L6" s="516"/>
      <c r="M6" s="517"/>
      <c r="P6" s="50"/>
      <c r="V6" s="56" t="s">
        <v>1</v>
      </c>
      <c r="W6" s="515" t="str">
        <f>IF(Summary!S6="","",Summary!S6)</f>
        <v/>
      </c>
      <c r="X6" s="516"/>
      <c r="Y6" s="516"/>
      <c r="Z6" s="516"/>
      <c r="AA6" s="517"/>
    </row>
    <row r="7" spans="5:28" x14ac:dyDescent="0.3">
      <c r="H7" s="56"/>
      <c r="I7" s="182"/>
      <c r="J7" s="182"/>
      <c r="K7" s="86"/>
      <c r="L7" s="86"/>
      <c r="M7" s="86"/>
      <c r="P7" s="50"/>
      <c r="V7" s="56"/>
      <c r="W7" s="182"/>
      <c r="X7" s="182"/>
      <c r="Y7" s="86"/>
      <c r="Z7" s="86"/>
      <c r="AA7" s="86"/>
    </row>
    <row r="8" spans="5:28" x14ac:dyDescent="0.3">
      <c r="H8" s="56" t="s">
        <v>48</v>
      </c>
      <c r="I8" s="518" t="str">
        <f>IF(Summary!E8="","",Summary!E8)</f>
        <v/>
      </c>
      <c r="J8" s="518"/>
      <c r="K8" s="86"/>
      <c r="L8" s="86"/>
      <c r="M8" s="86"/>
      <c r="P8" s="50"/>
      <c r="V8" s="56" t="s">
        <v>48</v>
      </c>
      <c r="W8" s="518" t="str">
        <f>IF(Summary!S8="","",Summary!S8)</f>
        <v/>
      </c>
      <c r="X8" s="518"/>
      <c r="Y8" s="86"/>
      <c r="Z8" s="86"/>
      <c r="AA8" s="86"/>
    </row>
    <row r="9" spans="5:28" x14ac:dyDescent="0.3">
      <c r="H9" s="56"/>
      <c r="I9" s="84"/>
      <c r="J9" s="84"/>
      <c r="K9" s="86"/>
      <c r="L9" s="86"/>
      <c r="M9" s="86"/>
      <c r="P9" s="50"/>
      <c r="V9" s="56"/>
      <c r="W9" s="84"/>
      <c r="X9" s="84"/>
      <c r="Y9" s="86"/>
      <c r="Z9" s="86"/>
      <c r="AA9" s="86"/>
    </row>
    <row r="10" spans="5:28" x14ac:dyDescent="0.3">
      <c r="H10" s="56" t="s">
        <v>45</v>
      </c>
      <c r="I10" s="23">
        <f>IF(AND(E25="",E44="",E36=""),IF(SUM(E31:E43)&gt;=10,10,SUM(E31:E43)),0)</f>
        <v>0</v>
      </c>
      <c r="J10" s="84"/>
      <c r="K10" s="86"/>
      <c r="L10" s="86"/>
      <c r="M10" s="86"/>
      <c r="P10" s="50"/>
      <c r="V10" s="56" t="s">
        <v>46</v>
      </c>
      <c r="W10" s="23">
        <f>IF(AND(S25="",S44="",S36=""),IF(SUM(S31:S43)&gt;=10,10,SUM(S31:S43)),0)</f>
        <v>0</v>
      </c>
      <c r="X10" s="84"/>
      <c r="Y10" s="86"/>
      <c r="Z10" s="86"/>
      <c r="AA10" s="86"/>
    </row>
    <row r="11" spans="5:28" ht="16.2" thickBot="1" x14ac:dyDescent="0.35">
      <c r="E11" s="3"/>
      <c r="F11" s="3"/>
      <c r="G11" s="3"/>
      <c r="H11" s="3"/>
      <c r="I11" s="3"/>
      <c r="J11" s="3"/>
      <c r="K11" s="3"/>
      <c r="L11" s="3"/>
      <c r="M11" s="3"/>
      <c r="N11" s="3"/>
      <c r="P11" s="50"/>
      <c r="S11" s="3"/>
      <c r="T11" s="3"/>
      <c r="U11" s="3"/>
      <c r="V11" s="3"/>
      <c r="W11" s="3"/>
      <c r="X11" s="3"/>
      <c r="Y11" s="3"/>
      <c r="Z11" s="3"/>
      <c r="AA11" s="3"/>
      <c r="AB11" s="3"/>
    </row>
    <row r="12" spans="5:28" x14ac:dyDescent="0.3">
      <c r="P12" s="50"/>
    </row>
    <row r="13" spans="5:28" x14ac:dyDescent="0.3">
      <c r="E13" s="4"/>
      <c r="F13" s="4"/>
      <c r="G13" s="4"/>
      <c r="H13" s="4"/>
      <c r="I13" s="4"/>
      <c r="J13" s="4"/>
      <c r="K13" s="4"/>
      <c r="L13" s="4"/>
      <c r="M13" s="4"/>
      <c r="N13" s="4"/>
      <c r="O13" s="4"/>
      <c r="P13" s="50"/>
      <c r="S13" s="4"/>
      <c r="T13" s="4"/>
      <c r="U13" s="4"/>
      <c r="V13" s="4"/>
      <c r="W13" s="4"/>
      <c r="X13" s="4"/>
      <c r="Y13" s="4"/>
      <c r="Z13" s="4"/>
      <c r="AA13" s="4"/>
      <c r="AB13" s="4"/>
    </row>
    <row r="14" spans="5:28" ht="63" customHeight="1" x14ac:dyDescent="0.3">
      <c r="E14" s="434" t="s">
        <v>600</v>
      </c>
      <c r="F14" s="434"/>
      <c r="G14" s="434"/>
      <c r="H14" s="434"/>
      <c r="I14" s="434"/>
      <c r="J14" s="434"/>
      <c r="K14" s="434"/>
      <c r="L14" s="434"/>
      <c r="M14" s="434"/>
      <c r="N14" s="434"/>
      <c r="O14" s="4"/>
      <c r="P14" s="50"/>
      <c r="S14" s="434" t="s">
        <v>600</v>
      </c>
      <c r="T14" s="434"/>
      <c r="U14" s="434"/>
      <c r="V14" s="434"/>
      <c r="W14" s="434"/>
      <c r="X14" s="434"/>
      <c r="Y14" s="434"/>
      <c r="Z14" s="434"/>
      <c r="AA14" s="434"/>
      <c r="AB14" s="434"/>
    </row>
    <row r="15" spans="5:28" x14ac:dyDescent="0.3">
      <c r="E15" s="4"/>
      <c r="F15" s="4"/>
      <c r="G15" s="4"/>
      <c r="H15" s="4"/>
      <c r="I15" s="4"/>
      <c r="J15" s="4"/>
      <c r="K15" s="4"/>
      <c r="L15" s="4"/>
      <c r="M15" s="4"/>
      <c r="N15" s="4"/>
      <c r="O15" s="4"/>
      <c r="P15" s="50"/>
      <c r="S15" s="4"/>
      <c r="T15" s="4"/>
      <c r="U15" s="4"/>
      <c r="V15" s="4"/>
      <c r="W15" s="4"/>
      <c r="X15" s="4"/>
      <c r="Y15" s="4"/>
      <c r="Z15" s="4"/>
      <c r="AA15" s="4"/>
      <c r="AB15" s="4"/>
    </row>
    <row r="16" spans="5:28" ht="80.25" customHeight="1" x14ac:dyDescent="0.3">
      <c r="E16" s="434" t="s">
        <v>639</v>
      </c>
      <c r="F16" s="434"/>
      <c r="G16" s="434"/>
      <c r="H16" s="434"/>
      <c r="I16" s="434"/>
      <c r="J16" s="434"/>
      <c r="K16" s="434"/>
      <c r="L16" s="434"/>
      <c r="M16" s="434"/>
      <c r="N16" s="434"/>
      <c r="O16" s="183"/>
      <c r="P16" s="50"/>
      <c r="S16" s="434" t="s">
        <v>597</v>
      </c>
      <c r="T16" s="434"/>
      <c r="U16" s="434"/>
      <c r="V16" s="434"/>
      <c r="W16" s="434"/>
      <c r="X16" s="434"/>
      <c r="Y16" s="434"/>
      <c r="Z16" s="434"/>
      <c r="AA16" s="434"/>
      <c r="AB16" s="434"/>
    </row>
    <row r="17" spans="3:28" ht="33" customHeight="1" x14ac:dyDescent="0.3">
      <c r="F17" s="434" t="s">
        <v>390</v>
      </c>
      <c r="G17" s="434"/>
      <c r="H17" s="434"/>
      <c r="I17" s="434"/>
      <c r="J17" s="434"/>
      <c r="K17" s="434"/>
      <c r="L17" s="434"/>
      <c r="M17" s="434"/>
      <c r="N17" s="434"/>
      <c r="P17" s="50"/>
      <c r="T17" s="434" t="s">
        <v>390</v>
      </c>
      <c r="U17" s="434"/>
      <c r="V17" s="434"/>
      <c r="W17" s="434"/>
      <c r="X17" s="434"/>
      <c r="Y17" s="434"/>
      <c r="Z17" s="434"/>
      <c r="AA17" s="434"/>
      <c r="AB17" s="434"/>
    </row>
    <row r="18" spans="3:28" ht="48.75" customHeight="1" x14ac:dyDescent="0.3">
      <c r="F18" s="434" t="s">
        <v>391</v>
      </c>
      <c r="G18" s="434"/>
      <c r="H18" s="434"/>
      <c r="I18" s="434"/>
      <c r="J18" s="434"/>
      <c r="K18" s="434"/>
      <c r="L18" s="434"/>
      <c r="M18" s="434"/>
      <c r="N18" s="434"/>
      <c r="P18" s="50"/>
      <c r="T18" s="434" t="s">
        <v>391</v>
      </c>
      <c r="U18" s="434"/>
      <c r="V18" s="434"/>
      <c r="W18" s="434"/>
      <c r="X18" s="434"/>
      <c r="Y18" s="434"/>
      <c r="Z18" s="434"/>
      <c r="AA18" s="434"/>
      <c r="AB18" s="434"/>
    </row>
    <row r="19" spans="3:28" x14ac:dyDescent="0.3">
      <c r="F19" s="335"/>
      <c r="G19" s="335"/>
      <c r="H19" s="335"/>
      <c r="I19" s="335"/>
      <c r="J19" s="335"/>
      <c r="K19" s="335"/>
      <c r="L19" s="335"/>
      <c r="M19" s="335"/>
      <c r="N19" s="335"/>
      <c r="P19" s="50"/>
      <c r="T19" s="335"/>
      <c r="U19" s="335"/>
      <c r="V19" s="335"/>
      <c r="W19" s="335"/>
      <c r="X19" s="335"/>
      <c r="Y19" s="335"/>
      <c r="Z19" s="335"/>
      <c r="AA19" s="335"/>
      <c r="AB19" s="335"/>
    </row>
    <row r="20" spans="3:28" ht="33" customHeight="1" x14ac:dyDescent="0.3">
      <c r="E20" s="434" t="s">
        <v>638</v>
      </c>
      <c r="F20" s="434"/>
      <c r="G20" s="434"/>
      <c r="H20" s="434"/>
      <c r="I20" s="434"/>
      <c r="J20" s="434"/>
      <c r="K20" s="434"/>
      <c r="L20" s="434"/>
      <c r="M20" s="434"/>
      <c r="N20" s="434"/>
      <c r="P20" s="50"/>
      <c r="S20" s="434" t="s">
        <v>636</v>
      </c>
      <c r="T20" s="434"/>
      <c r="U20" s="434"/>
      <c r="V20" s="434"/>
      <c r="W20" s="434"/>
      <c r="X20" s="434"/>
      <c r="Y20" s="434"/>
      <c r="Z20" s="434"/>
      <c r="AA20" s="434"/>
      <c r="AB20" s="434"/>
    </row>
    <row r="21" spans="3:28" ht="63.75" customHeight="1" x14ac:dyDescent="0.3">
      <c r="E21" s="214"/>
      <c r="F21" s="434" t="s">
        <v>677</v>
      </c>
      <c r="G21" s="434"/>
      <c r="H21" s="434"/>
      <c r="I21" s="434"/>
      <c r="J21" s="434"/>
      <c r="K21" s="434"/>
      <c r="L21" s="434"/>
      <c r="M21" s="434"/>
      <c r="N21" s="434"/>
      <c r="P21" s="50"/>
      <c r="S21" s="214"/>
      <c r="T21" s="434" t="s">
        <v>677</v>
      </c>
      <c r="U21" s="434"/>
      <c r="V21" s="434"/>
      <c r="W21" s="434"/>
      <c r="X21" s="434"/>
      <c r="Y21" s="434"/>
      <c r="Z21" s="434"/>
      <c r="AA21" s="434"/>
      <c r="AB21" s="434"/>
    </row>
    <row r="22" spans="3:28" ht="63" customHeight="1" x14ac:dyDescent="0.3">
      <c r="E22" s="214"/>
      <c r="F22" s="434" t="s">
        <v>678</v>
      </c>
      <c r="G22" s="434"/>
      <c r="H22" s="434"/>
      <c r="I22" s="434"/>
      <c r="J22" s="434"/>
      <c r="K22" s="434"/>
      <c r="L22" s="434"/>
      <c r="M22" s="434"/>
      <c r="N22" s="434"/>
      <c r="P22" s="50"/>
      <c r="S22" s="214"/>
      <c r="T22" s="434" t="s">
        <v>678</v>
      </c>
      <c r="U22" s="434"/>
      <c r="V22" s="434"/>
      <c r="W22" s="434"/>
      <c r="X22" s="434"/>
      <c r="Y22" s="434"/>
      <c r="Z22" s="434"/>
      <c r="AA22" s="434"/>
      <c r="AB22" s="434"/>
    </row>
    <row r="23" spans="3:28" x14ac:dyDescent="0.3">
      <c r="E23" s="214"/>
      <c r="F23" s="335"/>
      <c r="G23" s="335"/>
      <c r="H23" s="335"/>
      <c r="I23" s="335"/>
      <c r="J23" s="335"/>
      <c r="K23" s="335"/>
      <c r="L23" s="335"/>
      <c r="M23" s="335"/>
      <c r="N23" s="335"/>
      <c r="P23" s="50"/>
      <c r="S23" s="214"/>
      <c r="T23" s="335"/>
      <c r="U23" s="335"/>
      <c r="V23" s="335"/>
      <c r="W23" s="335"/>
      <c r="X23" s="335"/>
      <c r="Y23" s="335"/>
      <c r="Z23" s="335"/>
      <c r="AA23" s="335"/>
      <c r="AB23" s="335"/>
    </row>
    <row r="24" spans="3:28" ht="33" customHeight="1" x14ac:dyDescent="0.3">
      <c r="E24" s="434" t="s">
        <v>637</v>
      </c>
      <c r="F24" s="434"/>
      <c r="G24" s="434"/>
      <c r="H24" s="434"/>
      <c r="I24" s="434"/>
      <c r="J24" s="434"/>
      <c r="K24" s="434"/>
      <c r="L24" s="434"/>
      <c r="M24" s="434"/>
      <c r="N24" s="434"/>
      <c r="P24" s="50"/>
      <c r="S24" s="434" t="s">
        <v>637</v>
      </c>
      <c r="T24" s="434"/>
      <c r="U24" s="434"/>
      <c r="V24" s="434"/>
      <c r="W24" s="434"/>
      <c r="X24" s="434"/>
      <c r="Y24" s="434"/>
      <c r="Z24" s="434"/>
      <c r="AA24" s="434"/>
      <c r="AB24" s="434"/>
    </row>
    <row r="25" spans="3:28" x14ac:dyDescent="0.3">
      <c r="D25" s="185"/>
      <c r="E25" s="534" t="str">
        <f>IF(OR(AND(F31="X",F37="X"),AND(F31="X",F39="X"),AND(F31="X",F41="X"),AND(F31="X",F42="X"),AND(F31="X",F43="X")),"ERROR: SELECT ONLY OPTION A OR OPTION B","")</f>
        <v/>
      </c>
      <c r="F25" s="534"/>
      <c r="G25" s="534"/>
      <c r="H25" s="534"/>
      <c r="I25" s="534"/>
      <c r="J25" s="534"/>
      <c r="K25" s="534"/>
      <c r="L25" s="534"/>
      <c r="M25" s="534"/>
      <c r="N25" s="534"/>
      <c r="O25" s="346"/>
      <c r="P25" s="50"/>
      <c r="R25" s="185"/>
      <c r="S25" s="534" t="str">
        <f>IF(OR(AND(T31="X",T37="X"),AND(T31="X",T39="X"),AND(T31="X",T41="X"),AND(T31="X",T42="X"),AND(T31="X",T43="X")),"ERROR: SELECT ONLY OPTION A OR OPTION B","")</f>
        <v/>
      </c>
      <c r="T25" s="534"/>
      <c r="U25" s="534"/>
      <c r="V25" s="534"/>
      <c r="W25" s="534"/>
      <c r="X25" s="534"/>
      <c r="Y25" s="534"/>
      <c r="Z25" s="534"/>
      <c r="AA25" s="534"/>
      <c r="AB25" s="534"/>
    </row>
    <row r="26" spans="3:28" x14ac:dyDescent="0.3">
      <c r="D26" s="185" t="s">
        <v>3</v>
      </c>
      <c r="P26" s="50"/>
      <c r="R26" s="185" t="s">
        <v>3</v>
      </c>
    </row>
    <row r="27" spans="3:28" ht="16.2" thickBot="1" x14ac:dyDescent="0.35">
      <c r="E27" s="407" t="s">
        <v>560</v>
      </c>
      <c r="F27" s="407"/>
      <c r="G27" s="407"/>
      <c r="H27" s="407"/>
      <c r="I27" s="407"/>
      <c r="J27" s="407"/>
      <c r="K27" s="407"/>
      <c r="L27" s="407"/>
      <c r="M27" s="407"/>
      <c r="N27" s="407"/>
      <c r="O27" s="230"/>
      <c r="P27" s="50"/>
      <c r="S27" s="407" t="s">
        <v>560</v>
      </c>
      <c r="T27" s="407"/>
      <c r="U27" s="407"/>
      <c r="V27" s="407"/>
      <c r="W27" s="407"/>
      <c r="X27" s="407"/>
      <c r="Y27" s="407"/>
      <c r="Z27" s="407"/>
      <c r="AA27" s="407"/>
      <c r="AB27" s="407"/>
    </row>
    <row r="28" spans="3:28" x14ac:dyDescent="0.3">
      <c r="E28" s="230"/>
      <c r="F28" s="230"/>
      <c r="G28" s="230"/>
      <c r="H28" s="230"/>
      <c r="I28" s="230"/>
      <c r="J28" s="230"/>
      <c r="K28" s="230"/>
      <c r="L28" s="230"/>
      <c r="M28" s="230"/>
      <c r="N28" s="230"/>
      <c r="O28" s="230"/>
      <c r="P28" s="50"/>
      <c r="S28" s="230"/>
      <c r="T28" s="230"/>
      <c r="U28" s="230"/>
      <c r="V28" s="230"/>
      <c r="W28" s="230"/>
      <c r="X28" s="230"/>
      <c r="Y28" s="230"/>
      <c r="Z28" s="230"/>
      <c r="AA28" s="230"/>
      <c r="AB28" s="230"/>
    </row>
    <row r="29" spans="3:28" x14ac:dyDescent="0.3">
      <c r="C29" s="342"/>
      <c r="D29" s="74" t="s">
        <v>52</v>
      </c>
      <c r="E29" s="462" t="s">
        <v>598</v>
      </c>
      <c r="F29" s="462"/>
      <c r="G29" s="462"/>
      <c r="H29" s="462"/>
      <c r="I29" s="462"/>
      <c r="J29" s="462"/>
      <c r="K29" s="462"/>
      <c r="L29" s="462"/>
      <c r="M29" s="462"/>
      <c r="N29" s="462"/>
      <c r="O29" s="7"/>
      <c r="P29" s="50"/>
      <c r="Q29" s="342"/>
      <c r="R29" s="74" t="s">
        <v>52</v>
      </c>
      <c r="S29" s="462" t="s">
        <v>598</v>
      </c>
      <c r="T29" s="462"/>
      <c r="U29" s="462"/>
      <c r="V29" s="462"/>
      <c r="W29" s="462"/>
      <c r="X29" s="462"/>
      <c r="Y29" s="462"/>
      <c r="Z29" s="462"/>
      <c r="AA29" s="462"/>
      <c r="AB29" s="462"/>
    </row>
    <row r="30" spans="3:28" ht="16.2" thickBot="1" x14ac:dyDescent="0.35">
      <c r="C30" s="342"/>
      <c r="D30" s="74"/>
      <c r="E30" s="266"/>
      <c r="F30" s="266"/>
      <c r="G30" s="266"/>
      <c r="H30" s="266"/>
      <c r="I30" s="266"/>
      <c r="J30" s="266"/>
      <c r="K30" s="266"/>
      <c r="L30" s="266"/>
      <c r="M30" s="266"/>
      <c r="N30" s="266"/>
      <c r="O30" s="7"/>
      <c r="P30" s="50"/>
      <c r="Q30" s="342"/>
      <c r="R30" s="74"/>
      <c r="S30" s="266"/>
      <c r="T30" s="266"/>
      <c r="U30" s="266"/>
      <c r="V30" s="266"/>
      <c r="W30" s="266"/>
      <c r="X30" s="266"/>
      <c r="Y30" s="266"/>
      <c r="Z30" s="266"/>
      <c r="AA30" s="266"/>
      <c r="AB30" s="266"/>
    </row>
    <row r="31" spans="3:28" ht="66.75" customHeight="1" thickBot="1" x14ac:dyDescent="0.35">
      <c r="C31" s="28"/>
      <c r="D31" s="267">
        <v>10</v>
      </c>
      <c r="E31" s="268" t="str">
        <f t="shared" ref="E31:E39" si="0">IF(F31="X",D31,"")</f>
        <v/>
      </c>
      <c r="F31" s="260"/>
      <c r="G31" s="636" t="s">
        <v>568</v>
      </c>
      <c r="H31" s="636"/>
      <c r="I31" s="636"/>
      <c r="J31" s="636"/>
      <c r="K31" s="636" t="s">
        <v>569</v>
      </c>
      <c r="L31" s="636"/>
      <c r="M31" s="636"/>
      <c r="N31" s="637"/>
      <c r="O31" s="80"/>
      <c r="Q31" s="28"/>
      <c r="R31" s="48">
        <v>10</v>
      </c>
      <c r="S31" s="268" t="str">
        <f t="shared" ref="S31" si="1">IF(T31="X",R31,"")</f>
        <v/>
      </c>
      <c r="T31" s="377"/>
      <c r="U31" s="636" t="s">
        <v>568</v>
      </c>
      <c r="V31" s="636"/>
      <c r="W31" s="636"/>
      <c r="X31" s="636"/>
      <c r="Y31" s="636" t="s">
        <v>569</v>
      </c>
      <c r="Z31" s="636"/>
      <c r="AA31" s="636"/>
      <c r="AB31" s="637"/>
    </row>
    <row r="32" spans="3:28" x14ac:dyDescent="0.3">
      <c r="C32" s="28"/>
      <c r="D32" s="267"/>
      <c r="E32" s="175"/>
      <c r="F32" s="338"/>
      <c r="G32" s="338"/>
      <c r="H32" s="338"/>
      <c r="I32" s="338"/>
      <c r="J32" s="338"/>
      <c r="K32" s="338"/>
      <c r="L32" s="338"/>
      <c r="M32" s="338"/>
      <c r="N32" s="338"/>
      <c r="O32" s="80"/>
      <c r="Q32" s="28"/>
      <c r="R32" s="48"/>
      <c r="S32" s="175"/>
      <c r="T32" s="338"/>
      <c r="U32" s="338"/>
      <c r="V32" s="338"/>
      <c r="W32" s="338"/>
      <c r="X32" s="338"/>
      <c r="Y32" s="338"/>
      <c r="Z32" s="338"/>
      <c r="AA32" s="338"/>
      <c r="AB32" s="338"/>
    </row>
    <row r="33" spans="3:28" ht="20.25" customHeight="1" x14ac:dyDescent="0.35">
      <c r="C33" s="28"/>
      <c r="D33" s="48"/>
      <c r="E33" s="627" t="s">
        <v>215</v>
      </c>
      <c r="F33" s="628"/>
      <c r="G33" s="628"/>
      <c r="H33" s="628"/>
      <c r="I33" s="628"/>
      <c r="J33" s="628"/>
      <c r="K33" s="628"/>
      <c r="L33" s="628"/>
      <c r="M33" s="628"/>
      <c r="N33" s="628"/>
      <c r="O33" s="80"/>
      <c r="Q33" s="28"/>
      <c r="R33" s="48"/>
      <c r="S33" s="627" t="s">
        <v>215</v>
      </c>
      <c r="T33" s="628"/>
      <c r="U33" s="628"/>
      <c r="V33" s="628"/>
      <c r="W33" s="628"/>
      <c r="X33" s="628"/>
      <c r="Y33" s="628"/>
      <c r="Z33" s="628"/>
      <c r="AA33" s="628"/>
      <c r="AB33" s="628"/>
    </row>
    <row r="34" spans="3:28" x14ac:dyDescent="0.3">
      <c r="C34" s="28"/>
      <c r="D34" s="48"/>
      <c r="E34" s="265"/>
      <c r="F34" s="175"/>
      <c r="G34" s="175"/>
      <c r="H34" s="175"/>
      <c r="I34" s="175"/>
      <c r="J34" s="175"/>
      <c r="K34" s="175"/>
      <c r="L34" s="175"/>
      <c r="M34" s="175"/>
      <c r="N34" s="175"/>
      <c r="O34" s="80"/>
      <c r="Q34" s="28"/>
      <c r="R34" s="48"/>
      <c r="S34" s="265"/>
      <c r="T34" s="175"/>
      <c r="U34" s="175"/>
      <c r="V34" s="175"/>
      <c r="W34" s="175"/>
      <c r="X34" s="175"/>
      <c r="Y34" s="175"/>
      <c r="Z34" s="175"/>
      <c r="AA34" s="175"/>
      <c r="AB34" s="175"/>
    </row>
    <row r="35" spans="3:28" x14ac:dyDescent="0.3">
      <c r="C35" s="28"/>
      <c r="D35" s="48"/>
      <c r="E35" s="452" t="s">
        <v>599</v>
      </c>
      <c r="F35" s="453"/>
      <c r="G35" s="453"/>
      <c r="H35" s="453"/>
      <c r="I35" s="453"/>
      <c r="J35" s="453"/>
      <c r="K35" s="453"/>
      <c r="L35" s="453"/>
      <c r="M35" s="453"/>
      <c r="N35" s="453"/>
      <c r="O35" s="80"/>
      <c r="Q35" s="28"/>
      <c r="R35" s="48"/>
      <c r="S35" s="452" t="s">
        <v>599</v>
      </c>
      <c r="T35" s="453"/>
      <c r="U35" s="453"/>
      <c r="V35" s="453"/>
      <c r="W35" s="453"/>
      <c r="X35" s="453"/>
      <c r="Y35" s="453"/>
      <c r="Z35" s="453"/>
      <c r="AA35" s="453"/>
      <c r="AB35" s="453"/>
    </row>
    <row r="36" spans="3:28" ht="16.2" thickBot="1" x14ac:dyDescent="0.35">
      <c r="C36" s="28"/>
      <c r="D36" s="48"/>
      <c r="E36" s="631" t="str">
        <f>IF(SUM(E37,E39)&gt;6,"ERROR: SELECT ONLY ONE OWNERSHIP PERCENTAGE FOR BIPOC-LED ENTITY.","")</f>
        <v/>
      </c>
      <c r="F36" s="626"/>
      <c r="G36" s="626"/>
      <c r="H36" s="626"/>
      <c r="I36" s="626"/>
      <c r="J36" s="626"/>
      <c r="K36" s="626"/>
      <c r="L36" s="626"/>
      <c r="M36" s="626"/>
      <c r="N36" s="626"/>
      <c r="O36" s="80"/>
      <c r="Q36" s="28"/>
      <c r="R36" s="48"/>
      <c r="S36" s="631" t="str">
        <f>IF(SUM(S37,S39)&gt;6,"ERROR: SELECT ONLY ONE OWNERSHIP PERCENTAGE FOR BIPOC-LED ENTITY.","")</f>
        <v/>
      </c>
      <c r="T36" s="626"/>
      <c r="U36" s="626"/>
      <c r="V36" s="626"/>
      <c r="W36" s="626"/>
      <c r="X36" s="626"/>
      <c r="Y36" s="626"/>
      <c r="Z36" s="626"/>
      <c r="AA36" s="626"/>
      <c r="AB36" s="626"/>
    </row>
    <row r="37" spans="3:28" ht="65.25" customHeight="1" x14ac:dyDescent="0.3">
      <c r="C37" s="28"/>
      <c r="D37" s="48">
        <v>6</v>
      </c>
      <c r="E37" s="261" t="str">
        <f t="shared" si="0"/>
        <v/>
      </c>
      <c r="F37" s="262"/>
      <c r="G37" s="638" t="s">
        <v>601</v>
      </c>
      <c r="H37" s="638"/>
      <c r="I37" s="638"/>
      <c r="J37" s="638"/>
      <c r="K37" s="638" t="s">
        <v>603</v>
      </c>
      <c r="L37" s="638"/>
      <c r="M37" s="638"/>
      <c r="N37" s="639"/>
      <c r="O37" s="80"/>
      <c r="Q37" s="28"/>
      <c r="R37" s="48">
        <v>6</v>
      </c>
      <c r="S37" s="261" t="str">
        <f t="shared" ref="S37" si="2">IF(T37="X",R37,"")</f>
        <v/>
      </c>
      <c r="T37" s="378"/>
      <c r="U37" s="638" t="s">
        <v>601</v>
      </c>
      <c r="V37" s="638"/>
      <c r="W37" s="638"/>
      <c r="X37" s="638"/>
      <c r="Y37" s="638" t="s">
        <v>603</v>
      </c>
      <c r="Z37" s="638"/>
      <c r="AA37" s="638"/>
      <c r="AB37" s="639"/>
    </row>
    <row r="38" spans="3:28" ht="15" customHeight="1" x14ac:dyDescent="0.3">
      <c r="C38" s="28"/>
      <c r="D38" s="48"/>
      <c r="E38" s="456" t="s">
        <v>395</v>
      </c>
      <c r="F38" s="457"/>
      <c r="G38" s="457"/>
      <c r="H38" s="457"/>
      <c r="I38" s="457"/>
      <c r="J38" s="457"/>
      <c r="K38" s="457"/>
      <c r="L38" s="457"/>
      <c r="M38" s="457"/>
      <c r="N38" s="457"/>
      <c r="O38" s="80"/>
      <c r="Q38" s="28"/>
      <c r="R38" s="48"/>
      <c r="S38" s="456" t="s">
        <v>395</v>
      </c>
      <c r="T38" s="457"/>
      <c r="U38" s="457"/>
      <c r="V38" s="457"/>
      <c r="W38" s="457"/>
      <c r="X38" s="457"/>
      <c r="Y38" s="457"/>
      <c r="Z38" s="457"/>
      <c r="AA38" s="457"/>
      <c r="AB38" s="457"/>
    </row>
    <row r="39" spans="3:28" ht="64.5" customHeight="1" thickBot="1" x14ac:dyDescent="0.35">
      <c r="C39" s="28"/>
      <c r="D39" s="48">
        <v>4</v>
      </c>
      <c r="E39" s="263" t="str">
        <f t="shared" si="0"/>
        <v/>
      </c>
      <c r="F39" s="264"/>
      <c r="G39" s="634" t="s">
        <v>602</v>
      </c>
      <c r="H39" s="634"/>
      <c r="I39" s="634"/>
      <c r="J39" s="634"/>
      <c r="K39" s="634" t="s">
        <v>604</v>
      </c>
      <c r="L39" s="634"/>
      <c r="M39" s="634"/>
      <c r="N39" s="635"/>
      <c r="O39" s="80"/>
      <c r="Q39" s="28"/>
      <c r="R39" s="48">
        <v>4</v>
      </c>
      <c r="S39" s="263" t="str">
        <f t="shared" ref="S39" si="3">IF(T39="X",R39,"")</f>
        <v/>
      </c>
      <c r="T39" s="379"/>
      <c r="U39" s="634" t="s">
        <v>602</v>
      </c>
      <c r="V39" s="634"/>
      <c r="W39" s="634"/>
      <c r="X39" s="634"/>
      <c r="Y39" s="634" t="s">
        <v>604</v>
      </c>
      <c r="Z39" s="634"/>
      <c r="AA39" s="634"/>
      <c r="AB39" s="635"/>
    </row>
    <row r="40" spans="3:28" ht="20.100000000000001" customHeight="1" thickBot="1" x14ac:dyDescent="0.35">
      <c r="C40" s="28"/>
      <c r="D40" s="48"/>
      <c r="E40" s="456" t="s">
        <v>394</v>
      </c>
      <c r="F40" s="457"/>
      <c r="G40" s="457"/>
      <c r="H40" s="457"/>
      <c r="I40" s="457"/>
      <c r="J40" s="457"/>
      <c r="K40" s="457"/>
      <c r="L40" s="457"/>
      <c r="M40" s="457"/>
      <c r="N40" s="457"/>
      <c r="O40" s="80"/>
      <c r="Q40" s="28"/>
      <c r="R40" s="48"/>
      <c r="S40" s="456" t="s">
        <v>394</v>
      </c>
      <c r="T40" s="457"/>
      <c r="U40" s="457"/>
      <c r="V40" s="457"/>
      <c r="W40" s="457"/>
      <c r="X40" s="457"/>
      <c r="Y40" s="457"/>
      <c r="Z40" s="457"/>
      <c r="AA40" s="457"/>
      <c r="AB40" s="457"/>
    </row>
    <row r="41" spans="3:28" ht="20.100000000000001" customHeight="1" x14ac:dyDescent="0.3">
      <c r="C41" s="28">
        <f>IF(F41="X",D41,0)</f>
        <v>0</v>
      </c>
      <c r="D41" s="48">
        <v>2</v>
      </c>
      <c r="E41" s="632" t="str">
        <f>IF(SUM(C41:C43)&gt;4,"",IF(OR(F41="X",F42="X",F43="X"),SUM(C41:C43),""))</f>
        <v/>
      </c>
      <c r="F41" s="262"/>
      <c r="G41" s="629" t="s">
        <v>570</v>
      </c>
      <c r="H41" s="630"/>
      <c r="I41" s="630"/>
      <c r="J41" s="630"/>
      <c r="K41" s="630"/>
      <c r="L41" s="630"/>
      <c r="M41" s="630"/>
      <c r="N41" s="630"/>
      <c r="O41" s="80"/>
      <c r="Q41" s="28">
        <f>IF(T41="X",R41,0)</f>
        <v>0</v>
      </c>
      <c r="R41" s="48">
        <v>2</v>
      </c>
      <c r="S41" s="632" t="str">
        <f>IF(SUM(Q41:Q43)&gt;4,"",IF(OR(T41="X",T42="X",T43="X"),SUM(Q41:Q43),""))</f>
        <v/>
      </c>
      <c r="T41" s="378"/>
      <c r="U41" s="629" t="s">
        <v>570</v>
      </c>
      <c r="V41" s="630"/>
      <c r="W41" s="630"/>
      <c r="X41" s="630"/>
      <c r="Y41" s="630"/>
      <c r="Z41" s="630"/>
      <c r="AA41" s="630"/>
      <c r="AB41" s="630"/>
    </row>
    <row r="42" spans="3:28" ht="20.100000000000001" customHeight="1" x14ac:dyDescent="0.3">
      <c r="C42" s="28">
        <f t="shared" ref="C42:C43" si="4">IF(F42="X",D42,0)</f>
        <v>0</v>
      </c>
      <c r="D42" s="48">
        <v>2</v>
      </c>
      <c r="E42" s="493"/>
      <c r="F42" s="27"/>
      <c r="G42" s="447" t="s">
        <v>571</v>
      </c>
      <c r="H42" s="448"/>
      <c r="I42" s="448"/>
      <c r="J42" s="448"/>
      <c r="K42" s="448"/>
      <c r="L42" s="448"/>
      <c r="M42" s="448"/>
      <c r="N42" s="448"/>
      <c r="O42" s="155"/>
      <c r="Q42" s="28">
        <f t="shared" ref="Q42:Q43" si="5">IF(T42="X",R42,0)</f>
        <v>0</v>
      </c>
      <c r="R42" s="48">
        <v>2</v>
      </c>
      <c r="S42" s="493"/>
      <c r="T42" s="77"/>
      <c r="U42" s="447" t="s">
        <v>571</v>
      </c>
      <c r="V42" s="448"/>
      <c r="W42" s="448"/>
      <c r="X42" s="448"/>
      <c r="Y42" s="448"/>
      <c r="Z42" s="448"/>
      <c r="AA42" s="448"/>
      <c r="AB42" s="448"/>
    </row>
    <row r="43" spans="3:28" ht="20.100000000000001" customHeight="1" thickBot="1" x14ac:dyDescent="0.35">
      <c r="C43" s="28">
        <f t="shared" si="4"/>
        <v>0</v>
      </c>
      <c r="D43" s="48">
        <v>2</v>
      </c>
      <c r="E43" s="633"/>
      <c r="F43" s="264"/>
      <c r="G43" s="503" t="s">
        <v>572</v>
      </c>
      <c r="H43" s="504"/>
      <c r="I43" s="504"/>
      <c r="J43" s="504"/>
      <c r="K43" s="504"/>
      <c r="L43" s="504"/>
      <c r="M43" s="504"/>
      <c r="N43" s="504"/>
      <c r="O43" s="80"/>
      <c r="Q43" s="28">
        <f t="shared" si="5"/>
        <v>0</v>
      </c>
      <c r="R43" s="48">
        <v>2</v>
      </c>
      <c r="S43" s="633"/>
      <c r="T43" s="379"/>
      <c r="U43" s="503" t="s">
        <v>572</v>
      </c>
      <c r="V43" s="504"/>
      <c r="W43" s="504"/>
      <c r="X43" s="504"/>
      <c r="Y43" s="504"/>
      <c r="Z43" s="504"/>
      <c r="AA43" s="504"/>
      <c r="AB43" s="504"/>
    </row>
    <row r="44" spans="3:28" ht="15" customHeight="1" x14ac:dyDescent="0.3">
      <c r="E44" s="602" t="str">
        <f>IF(AND(F41="X",F42="X",F43="X"),"ERROR: SELECT ONLY TWO OF GENERAL CONTRACTOR, ARCHITECT, AND PROPERTY MANAGER OPTIONS.","")</f>
        <v/>
      </c>
      <c r="F44" s="602"/>
      <c r="G44" s="602"/>
      <c r="H44" s="602"/>
      <c r="I44" s="602"/>
      <c r="J44" s="602"/>
      <c r="K44" s="602"/>
      <c r="L44" s="602"/>
      <c r="M44" s="602"/>
      <c r="N44" s="602"/>
      <c r="P44" s="50"/>
      <c r="S44" s="602" t="str">
        <f>IF(AND(T41="X",T42="X",T43="X"),"ERROR: SELECT ONLY TWO OF GENERAL CONTRACTOR, ARCHITECT, AND PROPERTY MANAGER OPTIONS.","")</f>
        <v/>
      </c>
      <c r="T44" s="602"/>
      <c r="U44" s="602"/>
      <c r="V44" s="602"/>
      <c r="W44" s="602"/>
      <c r="X44" s="602"/>
      <c r="Y44" s="602"/>
      <c r="Z44" s="602"/>
      <c r="AA44" s="602"/>
      <c r="AB44" s="602"/>
    </row>
    <row r="45" spans="3:28" ht="15" customHeight="1" x14ac:dyDescent="0.3">
      <c r="G45" s="8"/>
      <c r="P45" s="50"/>
      <c r="U45" s="8"/>
    </row>
    <row r="46" spans="3:28" ht="15" customHeight="1" x14ac:dyDescent="0.3">
      <c r="G46" s="8"/>
      <c r="P46" s="50"/>
      <c r="U46" s="8"/>
    </row>
    <row r="47" spans="3:28" ht="15" customHeight="1" x14ac:dyDescent="0.3">
      <c r="G47" s="8"/>
      <c r="P47" s="50"/>
      <c r="U47" s="8"/>
    </row>
    <row r="48" spans="3:28" ht="15" customHeight="1" x14ac:dyDescent="0.3">
      <c r="G48" s="8"/>
      <c r="P48" s="50"/>
      <c r="U48" s="8"/>
    </row>
    <row r="49" spans="3:28" x14ac:dyDescent="0.3">
      <c r="G49" s="8"/>
      <c r="P49" s="50"/>
      <c r="U49" s="8"/>
    </row>
    <row r="50" spans="3:28" x14ac:dyDescent="0.3">
      <c r="G50" s="8"/>
      <c r="P50" s="50"/>
      <c r="U50" s="8"/>
    </row>
    <row r="51" spans="3:28" x14ac:dyDescent="0.3">
      <c r="G51" s="8"/>
      <c r="P51" s="50"/>
      <c r="U51" s="8"/>
    </row>
    <row r="52" spans="3:28" x14ac:dyDescent="0.3">
      <c r="G52" s="8"/>
      <c r="P52" s="50"/>
      <c r="U52" s="8"/>
    </row>
    <row r="53" spans="3:28" x14ac:dyDescent="0.3">
      <c r="G53" s="8"/>
      <c r="P53" s="50"/>
      <c r="U53" s="8"/>
    </row>
    <row r="54" spans="3:28" s="8" customFormat="1" x14ac:dyDescent="0.3">
      <c r="C54" s="31"/>
      <c r="D54" s="28"/>
      <c r="P54" s="51"/>
      <c r="Q54" s="31"/>
      <c r="R54" s="28"/>
    </row>
    <row r="55" spans="3:28" ht="48.75" customHeight="1" x14ac:dyDescent="0.3">
      <c r="E55" s="537"/>
      <c r="F55" s="537"/>
      <c r="G55" s="537"/>
      <c r="H55" s="537"/>
      <c r="I55" s="537"/>
      <c r="J55" s="537"/>
      <c r="K55" s="537"/>
      <c r="L55" s="537"/>
      <c r="M55" s="537"/>
      <c r="N55" s="537"/>
      <c r="O55" s="334"/>
      <c r="P55" s="50"/>
      <c r="S55" s="537"/>
      <c r="T55" s="537"/>
      <c r="U55" s="537"/>
      <c r="V55" s="537"/>
      <c r="W55" s="537"/>
      <c r="X55" s="537"/>
      <c r="Y55" s="537"/>
      <c r="Z55" s="537"/>
      <c r="AA55" s="537"/>
      <c r="AB55" s="537"/>
    </row>
    <row r="56" spans="3:28" s="8" customFormat="1" ht="62.25" customHeight="1" x14ac:dyDescent="0.3">
      <c r="C56" s="31"/>
      <c r="D56" s="28"/>
      <c r="E56" s="537"/>
      <c r="F56" s="537"/>
      <c r="G56" s="537"/>
      <c r="H56" s="537"/>
      <c r="I56" s="537"/>
      <c r="J56" s="537"/>
      <c r="K56" s="537"/>
      <c r="L56" s="537"/>
      <c r="M56" s="537"/>
      <c r="N56" s="537"/>
      <c r="O56" s="334"/>
      <c r="P56" s="51"/>
      <c r="Q56" s="31"/>
      <c r="R56" s="28"/>
      <c r="S56" s="537"/>
      <c r="T56" s="537"/>
      <c r="U56" s="537"/>
      <c r="V56" s="537"/>
      <c r="W56" s="537"/>
      <c r="X56" s="537"/>
      <c r="Y56" s="537"/>
      <c r="Z56" s="537"/>
      <c r="AA56" s="537"/>
      <c r="AB56" s="537"/>
    </row>
    <row r="57" spans="3:28" s="8" customFormat="1" x14ac:dyDescent="0.3">
      <c r="C57" s="31"/>
      <c r="D57" s="28"/>
      <c r="Q57" s="31"/>
      <c r="R57" s="28"/>
    </row>
    <row r="58" spans="3:28" s="8" customFormat="1" x14ac:dyDescent="0.3">
      <c r="C58" s="31"/>
      <c r="D58" s="28"/>
      <c r="Q58" s="31"/>
      <c r="R58" s="28"/>
    </row>
    <row r="59" spans="3:28" s="8" customFormat="1" x14ac:dyDescent="0.3">
      <c r="C59" s="31"/>
      <c r="D59" s="28"/>
      <c r="Q59" s="31"/>
      <c r="R59" s="28"/>
    </row>
    <row r="61" spans="3:28" x14ac:dyDescent="0.3">
      <c r="E61" s="9"/>
      <c r="F61" s="9"/>
      <c r="G61" s="7"/>
      <c r="S61" s="9"/>
      <c r="T61" s="9"/>
      <c r="U61" s="7"/>
    </row>
  </sheetData>
  <sheetProtection algorithmName="SHA-512" hashValue="rLm5GBhLkFI2HsVa0fCWydeCVHS5d8tVDn5U6Rccul2sY/5OaU+mBBv0d6X9OCg+Sw7Sva3EPCcZ9cw15nMiLQ==" saltValue="itINWoc7oyUjacPOWoTWRQ==" spinCount="100000" sheet="1" objects="1" scenarios="1" selectLockedCells="1"/>
  <mergeCells count="66">
    <mergeCell ref="E44:N44"/>
    <mergeCell ref="S41:S43"/>
    <mergeCell ref="S29:AB29"/>
    <mergeCell ref="U31:X31"/>
    <mergeCell ref="Y31:AB31"/>
    <mergeCell ref="S35:AB35"/>
    <mergeCell ref="U37:X37"/>
    <mergeCell ref="Y37:AB37"/>
    <mergeCell ref="S38:AB38"/>
    <mergeCell ref="U39:X39"/>
    <mergeCell ref="Y39:AB39"/>
    <mergeCell ref="S40:AB40"/>
    <mergeCell ref="U42:AB42"/>
    <mergeCell ref="S44:AB44"/>
    <mergeCell ref="G39:J39"/>
    <mergeCell ref="G42:N42"/>
    <mergeCell ref="E41:E43"/>
    <mergeCell ref="S36:AB36"/>
    <mergeCell ref="F22:N22"/>
    <mergeCell ref="E24:N24"/>
    <mergeCell ref="S33:AB33"/>
    <mergeCell ref="K39:N39"/>
    <mergeCell ref="E38:N38"/>
    <mergeCell ref="E40:N40"/>
    <mergeCell ref="G31:J31"/>
    <mergeCell ref="K31:N31"/>
    <mergeCell ref="G37:J37"/>
    <mergeCell ref="K37:N37"/>
    <mergeCell ref="I8:J8"/>
    <mergeCell ref="W8:X8"/>
    <mergeCell ref="E16:N16"/>
    <mergeCell ref="S16:AB16"/>
    <mergeCell ref="E25:N25"/>
    <mergeCell ref="S25:AB25"/>
    <mergeCell ref="F17:N17"/>
    <mergeCell ref="F18:N18"/>
    <mergeCell ref="E20:N20"/>
    <mergeCell ref="E14:N14"/>
    <mergeCell ref="F21:N21"/>
    <mergeCell ref="S14:AB14"/>
    <mergeCell ref="S20:AB20"/>
    <mergeCell ref="T21:AB21"/>
    <mergeCell ref="T22:AB22"/>
    <mergeCell ref="S24:AB24"/>
    <mergeCell ref="E2:N2"/>
    <mergeCell ref="S2:AB2"/>
    <mergeCell ref="E3:N3"/>
    <mergeCell ref="S3:AB3"/>
    <mergeCell ref="I6:M6"/>
    <mergeCell ref="W6:AA6"/>
    <mergeCell ref="E55:N55"/>
    <mergeCell ref="S55:AB55"/>
    <mergeCell ref="T17:AB17"/>
    <mergeCell ref="T18:AB18"/>
    <mergeCell ref="E56:N56"/>
    <mergeCell ref="S56:AB56"/>
    <mergeCell ref="E27:N27"/>
    <mergeCell ref="S27:AB27"/>
    <mergeCell ref="G43:N43"/>
    <mergeCell ref="U43:AB43"/>
    <mergeCell ref="E33:N33"/>
    <mergeCell ref="G41:N41"/>
    <mergeCell ref="U41:AB41"/>
    <mergeCell ref="E29:N29"/>
    <mergeCell ref="E35:N35"/>
    <mergeCell ref="E36:N36"/>
  </mergeCells>
  <dataValidations count="1">
    <dataValidation type="list" allowBlank="1" showInputMessage="1" showErrorMessage="1" sqref="T39 F41:F43 F37 F39 F31 T37 T41:T43 T31" xr:uid="{282C172F-D88A-4BE7-B541-20DC9BC86B88}">
      <formula1>$R$25:$R$26</formula1>
    </dataValidation>
  </dataValidations>
  <pageMargins left="0.7" right="0.7" top="0.75" bottom="0.75" header="0.3" footer="0.3"/>
  <pageSetup scale="62" orientation="portrait" r:id="rId1"/>
  <headerFooter>
    <oddFooter>&amp;CTab: &amp;A&amp;RPrint Date: &amp;D</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5"/>
  <dimension ref="B1:Z43"/>
  <sheetViews>
    <sheetView showGridLines="0" view="pageBreakPreview" zoomScaleNormal="100" zoomScaleSheetLayoutView="100" workbookViewId="0">
      <selection activeCell="F15" sqref="F15"/>
    </sheetView>
  </sheetViews>
  <sheetFormatPr defaultColWidth="9.109375" defaultRowHeight="15.6" x14ac:dyDescent="0.3"/>
  <cols>
    <col min="1" max="1" width="3.5546875" style="1" customWidth="1"/>
    <col min="2" max="3" width="9.109375" style="28" hidden="1" customWidth="1"/>
    <col min="4" max="5" width="4.88671875" style="1" customWidth="1"/>
    <col min="6" max="13" width="12.44140625" style="1" customWidth="1"/>
    <col min="14" max="14" width="3.5546875" style="1" customWidth="1"/>
    <col min="15" max="16" width="9.109375" style="28" hidden="1" customWidth="1"/>
    <col min="17" max="18" width="4.88671875" style="1" customWidth="1"/>
    <col min="19" max="26" width="12.44140625" style="1" customWidth="1"/>
    <col min="27" max="16384" width="9.109375" style="1"/>
  </cols>
  <sheetData>
    <row r="1" spans="2:26" x14ac:dyDescent="0.3">
      <c r="N1" s="50"/>
    </row>
    <row r="2" spans="2:26" x14ac:dyDescent="0.3">
      <c r="D2" s="410" t="s">
        <v>344</v>
      </c>
      <c r="E2" s="410"/>
      <c r="F2" s="410"/>
      <c r="G2" s="410"/>
      <c r="H2" s="410"/>
      <c r="I2" s="410"/>
      <c r="J2" s="410"/>
      <c r="K2" s="410"/>
      <c r="L2" s="410"/>
      <c r="M2" s="410"/>
      <c r="N2" s="50"/>
      <c r="Q2" s="410" t="s">
        <v>344</v>
      </c>
      <c r="R2" s="410"/>
      <c r="S2" s="410"/>
      <c r="T2" s="410"/>
      <c r="U2" s="410"/>
      <c r="V2" s="410"/>
      <c r="W2" s="410"/>
      <c r="X2" s="410"/>
      <c r="Y2" s="410"/>
      <c r="Z2" s="410"/>
    </row>
    <row r="3" spans="2:26" ht="16.2" thickBot="1" x14ac:dyDescent="0.35">
      <c r="D3" s="411" t="s">
        <v>53</v>
      </c>
      <c r="E3" s="411"/>
      <c r="F3" s="411"/>
      <c r="G3" s="411"/>
      <c r="H3" s="411"/>
      <c r="I3" s="411"/>
      <c r="J3" s="411"/>
      <c r="K3" s="411"/>
      <c r="L3" s="411"/>
      <c r="M3" s="411"/>
      <c r="N3" s="50"/>
      <c r="Q3" s="411" t="s">
        <v>54</v>
      </c>
      <c r="R3" s="411"/>
      <c r="S3" s="411"/>
      <c r="T3" s="411"/>
      <c r="U3" s="411"/>
      <c r="V3" s="411"/>
      <c r="W3" s="411"/>
      <c r="X3" s="411"/>
      <c r="Y3" s="411"/>
      <c r="Z3" s="411"/>
    </row>
    <row r="4" spans="2:26" x14ac:dyDescent="0.3">
      <c r="D4" s="2"/>
      <c r="E4" s="2"/>
      <c r="F4" s="2"/>
      <c r="G4" s="2"/>
      <c r="H4" s="2"/>
      <c r="I4" s="2"/>
      <c r="J4" s="2"/>
      <c r="K4" s="2"/>
      <c r="L4" s="2"/>
      <c r="M4" s="2"/>
      <c r="N4" s="50"/>
      <c r="Q4" s="2"/>
      <c r="R4" s="2"/>
      <c r="S4" s="2"/>
      <c r="T4" s="2"/>
      <c r="U4" s="2"/>
      <c r="V4" s="2"/>
      <c r="W4" s="2"/>
      <c r="X4" s="2"/>
      <c r="Y4" s="2"/>
      <c r="Z4" s="2"/>
    </row>
    <row r="5" spans="2:26" x14ac:dyDescent="0.3">
      <c r="C5" s="28" t="s">
        <v>3</v>
      </c>
      <c r="D5" s="2"/>
      <c r="E5" s="2"/>
      <c r="G5" s="56" t="s">
        <v>0</v>
      </c>
      <c r="H5" s="21" t="str">
        <f>IF(Summary!$E$5="","",Summary!$E$5)</f>
        <v/>
      </c>
      <c r="I5" s="86"/>
      <c r="J5" s="86"/>
      <c r="K5" s="86"/>
      <c r="L5" s="86"/>
      <c r="M5" s="2"/>
      <c r="N5" s="50"/>
      <c r="Q5" s="2"/>
      <c r="R5" s="2"/>
      <c r="T5" s="56" t="s">
        <v>0</v>
      </c>
      <c r="U5" s="21" t="str">
        <f>IF(Summary!$S$5="","",Summary!$S$5)</f>
        <v/>
      </c>
      <c r="V5" s="86"/>
      <c r="W5" s="86"/>
      <c r="X5" s="86"/>
      <c r="Y5" s="86"/>
      <c r="Z5" s="2"/>
    </row>
    <row r="6" spans="2:26" x14ac:dyDescent="0.3">
      <c r="G6" s="56" t="s">
        <v>1</v>
      </c>
      <c r="H6" s="515" t="str">
        <f>IF(Summary!E6="","",Summary!E6)</f>
        <v/>
      </c>
      <c r="I6" s="516"/>
      <c r="J6" s="516"/>
      <c r="K6" s="516"/>
      <c r="L6" s="517"/>
      <c r="N6" s="50"/>
      <c r="T6" s="56" t="s">
        <v>1</v>
      </c>
      <c r="U6" s="515" t="str">
        <f>IF(Summary!$S6="","",Summary!$S6)</f>
        <v/>
      </c>
      <c r="V6" s="516"/>
      <c r="W6" s="516"/>
      <c r="X6" s="516"/>
      <c r="Y6" s="517"/>
    </row>
    <row r="7" spans="2:26" x14ac:dyDescent="0.3">
      <c r="G7" s="56"/>
      <c r="H7" s="182"/>
      <c r="I7" s="182"/>
      <c r="J7" s="86"/>
      <c r="K7" s="86"/>
      <c r="L7" s="86"/>
      <c r="N7" s="50"/>
      <c r="T7" s="56"/>
      <c r="U7" s="182"/>
      <c r="V7" s="182"/>
      <c r="W7" s="86"/>
      <c r="X7" s="86"/>
      <c r="Y7" s="86"/>
    </row>
    <row r="8" spans="2:26" x14ac:dyDescent="0.3">
      <c r="G8" s="56" t="s">
        <v>48</v>
      </c>
      <c r="H8" s="518" t="str">
        <f>IF(Summary!E8="","",Summary!E8)</f>
        <v/>
      </c>
      <c r="I8" s="518"/>
      <c r="J8" s="86"/>
      <c r="K8" s="86"/>
      <c r="L8" s="86"/>
      <c r="N8" s="50"/>
      <c r="T8" s="56" t="s">
        <v>48</v>
      </c>
      <c r="U8" s="526" t="str">
        <f>IF(Summary!$S8="","",Summary!$S8)</f>
        <v/>
      </c>
      <c r="V8" s="527"/>
      <c r="W8" s="86"/>
      <c r="X8" s="86"/>
      <c r="Y8" s="86"/>
    </row>
    <row r="9" spans="2:26" x14ac:dyDescent="0.3">
      <c r="G9" s="56"/>
      <c r="H9" s="84"/>
      <c r="I9" s="84"/>
      <c r="J9" s="86"/>
      <c r="K9" s="86"/>
      <c r="L9" s="86"/>
      <c r="N9" s="50"/>
      <c r="T9" s="56"/>
      <c r="U9" s="84"/>
      <c r="V9" s="84"/>
      <c r="W9" s="86"/>
      <c r="X9" s="86"/>
      <c r="Y9" s="86"/>
    </row>
    <row r="10" spans="2:26" x14ac:dyDescent="0.3">
      <c r="G10" s="56" t="s">
        <v>45</v>
      </c>
      <c r="H10" s="23">
        <f>IF(D18="",SUM(D21:D21), 0)</f>
        <v>0</v>
      </c>
      <c r="I10" s="84"/>
      <c r="J10" s="86"/>
      <c r="K10" s="86"/>
      <c r="L10" s="86"/>
      <c r="N10" s="50"/>
      <c r="T10" s="56" t="s">
        <v>46</v>
      </c>
      <c r="U10" s="23">
        <f>IF(Q18="",SUM(Q21:Q21), 0)</f>
        <v>0</v>
      </c>
      <c r="V10" s="84"/>
      <c r="W10" s="86"/>
      <c r="X10" s="86"/>
      <c r="Y10" s="86"/>
    </row>
    <row r="11" spans="2:26" ht="16.2" thickBot="1" x14ac:dyDescent="0.35">
      <c r="D11" s="3"/>
      <c r="E11" s="3"/>
      <c r="F11" s="3"/>
      <c r="G11" s="3"/>
      <c r="H11" s="3"/>
      <c r="I11" s="3"/>
      <c r="J11" s="3"/>
      <c r="K11" s="3"/>
      <c r="L11" s="3"/>
      <c r="M11" s="3"/>
      <c r="N11" s="50"/>
      <c r="Q11" s="3"/>
      <c r="R11" s="3"/>
      <c r="S11" s="3"/>
      <c r="T11" s="3"/>
      <c r="U11" s="3"/>
      <c r="V11" s="3"/>
      <c r="W11" s="3"/>
      <c r="X11" s="3"/>
      <c r="Y11" s="3"/>
      <c r="Z11" s="3"/>
    </row>
    <row r="12" spans="2:26" ht="219" customHeight="1" x14ac:dyDescent="0.3">
      <c r="D12" s="434" t="s">
        <v>644</v>
      </c>
      <c r="E12" s="434"/>
      <c r="F12" s="434"/>
      <c r="G12" s="434"/>
      <c r="H12" s="434"/>
      <c r="I12" s="434"/>
      <c r="J12" s="434"/>
      <c r="K12" s="434"/>
      <c r="L12" s="434"/>
      <c r="M12" s="434"/>
      <c r="N12" s="50"/>
      <c r="Q12" s="434" t="s">
        <v>644</v>
      </c>
      <c r="R12" s="434"/>
      <c r="S12" s="434"/>
      <c r="T12" s="434"/>
      <c r="U12" s="434"/>
      <c r="V12" s="434"/>
      <c r="W12" s="434"/>
      <c r="X12" s="434"/>
      <c r="Y12" s="434"/>
      <c r="Z12" s="434"/>
    </row>
    <row r="13" spans="2:26" x14ac:dyDescent="0.3">
      <c r="D13" s="335"/>
      <c r="E13" s="335"/>
      <c r="F13" s="335"/>
      <c r="G13" s="335"/>
      <c r="H13" s="335"/>
      <c r="I13" s="335"/>
      <c r="J13" s="335"/>
      <c r="K13" s="335"/>
      <c r="L13" s="335"/>
      <c r="M13" s="335"/>
      <c r="N13" s="50"/>
      <c r="Q13" s="335"/>
      <c r="R13" s="335"/>
      <c r="S13" s="335"/>
      <c r="T13" s="335"/>
      <c r="U13" s="335"/>
      <c r="V13" s="335"/>
      <c r="W13" s="335"/>
      <c r="X13" s="335"/>
      <c r="Y13" s="335"/>
      <c r="Z13" s="335"/>
    </row>
    <row r="14" spans="2:26" ht="15.75" customHeight="1" x14ac:dyDescent="0.3">
      <c r="D14" s="335"/>
      <c r="E14" s="335"/>
      <c r="F14" s="434" t="s">
        <v>643</v>
      </c>
      <c r="G14" s="434"/>
      <c r="H14" s="434"/>
      <c r="I14" s="434"/>
      <c r="J14" s="434"/>
      <c r="K14" s="434"/>
      <c r="L14" s="434"/>
      <c r="M14" s="434"/>
      <c r="N14" s="50"/>
      <c r="Q14" s="335"/>
      <c r="R14" s="335"/>
      <c r="S14" s="434" t="s">
        <v>643</v>
      </c>
      <c r="T14" s="434"/>
      <c r="U14" s="434"/>
      <c r="V14" s="434"/>
      <c r="W14" s="434"/>
      <c r="X14" s="434"/>
      <c r="Y14" s="434"/>
      <c r="Z14" s="434"/>
    </row>
    <row r="15" spans="2:26" x14ac:dyDescent="0.3">
      <c r="B15" s="31"/>
      <c r="C15" s="4"/>
      <c r="D15" s="4"/>
      <c r="E15" s="4"/>
      <c r="F15" s="27"/>
      <c r="G15" s="640" t="s">
        <v>289</v>
      </c>
      <c r="H15" s="443"/>
      <c r="I15" s="443"/>
      <c r="J15" s="443"/>
      <c r="K15" s="443"/>
      <c r="L15" s="443"/>
      <c r="M15" s="443"/>
      <c r="N15" s="50"/>
      <c r="O15" s="31"/>
      <c r="P15" s="4"/>
      <c r="Q15" s="4"/>
      <c r="R15" s="4"/>
      <c r="S15" s="287"/>
      <c r="T15" s="640" t="s">
        <v>289</v>
      </c>
      <c r="U15" s="443"/>
      <c r="V15" s="443"/>
      <c r="W15" s="443"/>
      <c r="X15" s="443"/>
      <c r="Y15" s="443"/>
      <c r="Z15" s="443"/>
    </row>
    <row r="16" spans="2:26" ht="15.75" customHeight="1" x14ac:dyDescent="0.3">
      <c r="F16" s="27"/>
      <c r="G16" s="443" t="s">
        <v>672</v>
      </c>
      <c r="H16" s="443"/>
      <c r="I16" s="443"/>
      <c r="J16" s="443"/>
      <c r="K16" s="443"/>
      <c r="L16" s="443"/>
      <c r="M16" s="443"/>
      <c r="N16" s="50"/>
      <c r="S16" s="287"/>
      <c r="T16" s="443" t="s">
        <v>672</v>
      </c>
      <c r="U16" s="443"/>
      <c r="V16" s="443"/>
      <c r="W16" s="443"/>
      <c r="X16" s="443"/>
      <c r="Y16" s="443"/>
      <c r="Z16" s="443"/>
    </row>
    <row r="17" spans="2:26" ht="31.5" customHeight="1" x14ac:dyDescent="0.3">
      <c r="F17" s="335"/>
      <c r="G17" s="443"/>
      <c r="H17" s="443"/>
      <c r="I17" s="443"/>
      <c r="J17" s="443"/>
      <c r="K17" s="443"/>
      <c r="L17" s="443"/>
      <c r="M17" s="443"/>
      <c r="N17" s="50"/>
      <c r="S17" s="335"/>
      <c r="T17" s="443"/>
      <c r="U17" s="443"/>
      <c r="V17" s="443"/>
      <c r="W17" s="443"/>
      <c r="X17" s="443"/>
      <c r="Y17" s="443"/>
      <c r="Z17" s="443"/>
    </row>
    <row r="18" spans="2:26" x14ac:dyDescent="0.3">
      <c r="D18" s="534" t="str">
        <f>IF(AND(E21&lt;&gt;"",OR(F15="",F16="")),"ERROR: INDICATE ABOVE IF REQUIRED DOCUMENTATION HAS BEEN SUBMITTED IN PROJECT APPLICATION","")</f>
        <v/>
      </c>
      <c r="E18" s="534"/>
      <c r="F18" s="534"/>
      <c r="G18" s="534"/>
      <c r="H18" s="534"/>
      <c r="I18" s="534"/>
      <c r="J18" s="534"/>
      <c r="K18" s="534"/>
      <c r="L18" s="534"/>
      <c r="M18" s="534"/>
      <c r="N18" s="50"/>
      <c r="Q18" s="534" t="str">
        <f>IF(AND(R21&lt;&gt;"",OR(S15="",S16="")),"ERROR: INDICATE ABOVE IF REQUIRED DOCUMENTATION HAS BEEN SUBMITTED IN PROJECT APPLICATION","")</f>
        <v/>
      </c>
      <c r="R18" s="534"/>
      <c r="S18" s="534"/>
      <c r="T18" s="534"/>
      <c r="U18" s="534"/>
      <c r="V18" s="534"/>
      <c r="W18" s="534"/>
      <c r="X18" s="534"/>
      <c r="Y18" s="534"/>
      <c r="Z18" s="534"/>
    </row>
    <row r="19" spans="2:26" ht="16.2" thickBot="1" x14ac:dyDescent="0.35">
      <c r="D19" s="407" t="s">
        <v>165</v>
      </c>
      <c r="E19" s="407"/>
      <c r="F19" s="407"/>
      <c r="G19" s="407"/>
      <c r="H19" s="407"/>
      <c r="I19" s="407"/>
      <c r="J19" s="407"/>
      <c r="K19" s="407"/>
      <c r="L19" s="407"/>
      <c r="M19" s="407"/>
      <c r="N19" s="50"/>
      <c r="Q19" s="407" t="s">
        <v>165</v>
      </c>
      <c r="R19" s="407"/>
      <c r="S19" s="407"/>
      <c r="T19" s="407"/>
      <c r="U19" s="407"/>
      <c r="V19" s="407"/>
      <c r="W19" s="407"/>
      <c r="X19" s="407"/>
      <c r="Y19" s="407"/>
      <c r="Z19" s="407"/>
    </row>
    <row r="20" spans="2:26" x14ac:dyDescent="0.3">
      <c r="B20" s="74" t="s">
        <v>58</v>
      </c>
      <c r="C20" s="74" t="s">
        <v>52</v>
      </c>
      <c r="F20" s="7"/>
      <c r="G20" s="7"/>
      <c r="H20" s="7"/>
      <c r="I20" s="7"/>
      <c r="J20" s="7"/>
      <c r="K20" s="7"/>
      <c r="L20" s="7"/>
      <c r="M20" s="7"/>
      <c r="N20" s="50"/>
      <c r="O20" s="74" t="s">
        <v>58</v>
      </c>
      <c r="P20" s="74" t="s">
        <v>52</v>
      </c>
      <c r="S20" s="7"/>
      <c r="T20" s="7"/>
      <c r="U20" s="7"/>
      <c r="V20" s="7"/>
      <c r="W20" s="7"/>
      <c r="X20" s="7"/>
      <c r="Y20" s="7"/>
      <c r="Z20" s="7"/>
    </row>
    <row r="21" spans="2:26" ht="50.1" customHeight="1" x14ac:dyDescent="0.3">
      <c r="B21" s="28">
        <f>IF(E21="X",1,0)</f>
        <v>0</v>
      </c>
      <c r="C21" s="28">
        <v>3</v>
      </c>
      <c r="D21" s="167" t="str">
        <f>IF(E21="X",C21,"")</f>
        <v/>
      </c>
      <c r="E21" s="27"/>
      <c r="F21" s="444" t="s">
        <v>645</v>
      </c>
      <c r="G21" s="444"/>
      <c r="H21" s="444"/>
      <c r="I21" s="444"/>
      <c r="J21" s="444"/>
      <c r="K21" s="444"/>
      <c r="L21" s="444"/>
      <c r="M21" s="444"/>
      <c r="N21" s="50"/>
      <c r="O21" s="28">
        <f>IF(R21="X",1,0)</f>
        <v>0</v>
      </c>
      <c r="P21" s="28">
        <v>3</v>
      </c>
      <c r="Q21" s="167" t="str">
        <f>IF(R21="X",P21,"")</f>
        <v/>
      </c>
      <c r="R21" s="77"/>
      <c r="S21" s="444" t="s">
        <v>645</v>
      </c>
      <c r="T21" s="444"/>
      <c r="U21" s="444"/>
      <c r="V21" s="444"/>
      <c r="W21" s="444"/>
      <c r="X21" s="444"/>
      <c r="Y21" s="444"/>
      <c r="Z21" s="444"/>
    </row>
    <row r="22" spans="2:26" ht="15" customHeight="1" x14ac:dyDescent="0.3">
      <c r="B22" s="29">
        <f>SUM(B21:B21)</f>
        <v>0</v>
      </c>
      <c r="F22" s="8"/>
      <c r="N22" s="50"/>
      <c r="O22" s="29">
        <f>SUM(O21:O21)</f>
        <v>0</v>
      </c>
      <c r="S22" s="8"/>
    </row>
    <row r="23" spans="2:26" ht="15" customHeight="1" x14ac:dyDescent="0.3">
      <c r="F23" s="8"/>
      <c r="N23" s="50"/>
      <c r="S23" s="8"/>
    </row>
    <row r="24" spans="2:26" ht="15" customHeight="1" x14ac:dyDescent="0.3">
      <c r="F24" s="8"/>
      <c r="N24" s="50"/>
      <c r="S24" s="8"/>
    </row>
    <row r="25" spans="2:26" ht="15" customHeight="1" x14ac:dyDescent="0.3">
      <c r="F25" s="8"/>
      <c r="N25" s="50"/>
      <c r="S25" s="8"/>
    </row>
    <row r="26" spans="2:26" ht="15" customHeight="1" x14ac:dyDescent="0.3">
      <c r="F26" s="8"/>
      <c r="N26" s="50"/>
      <c r="S26" s="8"/>
    </row>
    <row r="27" spans="2:26" ht="15" customHeight="1" x14ac:dyDescent="0.3">
      <c r="F27" s="8"/>
      <c r="N27" s="50"/>
      <c r="S27" s="8"/>
    </row>
    <row r="28" spans="2:26" x14ac:dyDescent="0.3">
      <c r="F28" s="8"/>
      <c r="N28" s="50"/>
      <c r="S28" s="8"/>
    </row>
    <row r="29" spans="2:26" x14ac:dyDescent="0.3">
      <c r="F29" s="8"/>
      <c r="N29" s="50"/>
      <c r="S29" s="8"/>
    </row>
    <row r="30" spans="2:26" x14ac:dyDescent="0.3">
      <c r="F30" s="8"/>
      <c r="N30" s="50"/>
      <c r="S30" s="8"/>
    </row>
    <row r="31" spans="2:26" x14ac:dyDescent="0.3">
      <c r="F31" s="8"/>
      <c r="N31" s="50"/>
      <c r="S31" s="8"/>
    </row>
    <row r="32" spans="2:26" x14ac:dyDescent="0.3">
      <c r="F32" s="8"/>
      <c r="N32" s="50"/>
      <c r="S32" s="8"/>
    </row>
    <row r="33" spans="2:26" x14ac:dyDescent="0.3">
      <c r="F33" s="8"/>
      <c r="N33" s="50"/>
      <c r="S33" s="8"/>
    </row>
    <row r="34" spans="2:26" x14ac:dyDescent="0.3">
      <c r="F34" s="8"/>
      <c r="N34" s="50"/>
      <c r="S34" s="8"/>
    </row>
    <row r="35" spans="2:26" x14ac:dyDescent="0.3">
      <c r="F35" s="8"/>
      <c r="N35" s="50"/>
      <c r="S35" s="8"/>
    </row>
    <row r="36" spans="2:26" s="8" customFormat="1" x14ac:dyDescent="0.3">
      <c r="B36" s="28"/>
      <c r="C36" s="28"/>
      <c r="N36" s="51"/>
      <c r="O36" s="28"/>
      <c r="P36" s="28"/>
    </row>
    <row r="37" spans="2:26" ht="48.75" customHeight="1" x14ac:dyDescent="0.3">
      <c r="D37" s="537"/>
      <c r="E37" s="537"/>
      <c r="F37" s="537"/>
      <c r="G37" s="537"/>
      <c r="H37" s="537"/>
      <c r="I37" s="537"/>
      <c r="J37" s="537"/>
      <c r="K37" s="537"/>
      <c r="L37" s="537"/>
      <c r="M37" s="537"/>
      <c r="N37" s="50"/>
      <c r="Q37" s="537"/>
      <c r="R37" s="537"/>
      <c r="S37" s="537"/>
      <c r="T37" s="537"/>
      <c r="U37" s="537"/>
      <c r="V37" s="537"/>
      <c r="W37" s="537"/>
      <c r="X37" s="537"/>
      <c r="Y37" s="537"/>
      <c r="Z37" s="537"/>
    </row>
    <row r="38" spans="2:26" s="8" customFormat="1" ht="62.25" customHeight="1" x14ac:dyDescent="0.3">
      <c r="B38" s="28"/>
      <c r="C38" s="28"/>
      <c r="D38" s="537"/>
      <c r="E38" s="537"/>
      <c r="F38" s="537"/>
      <c r="G38" s="537"/>
      <c r="H38" s="537"/>
      <c r="I38" s="537"/>
      <c r="J38" s="537"/>
      <c r="K38" s="537"/>
      <c r="L38" s="537"/>
      <c r="M38" s="537"/>
      <c r="N38" s="51"/>
      <c r="O38" s="28"/>
      <c r="P38" s="28"/>
      <c r="Q38" s="537"/>
      <c r="R38" s="537"/>
      <c r="S38" s="537"/>
      <c r="T38" s="537"/>
      <c r="U38" s="537"/>
      <c r="V38" s="537"/>
      <c r="W38" s="537"/>
      <c r="X38" s="537"/>
      <c r="Y38" s="537"/>
      <c r="Z38" s="537"/>
    </row>
    <row r="39" spans="2:26" s="8" customFormat="1" x14ac:dyDescent="0.3">
      <c r="B39" s="28"/>
      <c r="C39" s="28"/>
      <c r="O39" s="28"/>
      <c r="P39" s="28"/>
    </row>
    <row r="40" spans="2:26" s="8" customFormat="1" x14ac:dyDescent="0.3">
      <c r="B40" s="28"/>
      <c r="C40" s="28"/>
      <c r="O40" s="28"/>
      <c r="P40" s="28"/>
    </row>
    <row r="41" spans="2:26" s="8" customFormat="1" x14ac:dyDescent="0.3">
      <c r="B41" s="28"/>
      <c r="C41" s="28"/>
      <c r="O41" s="28"/>
      <c r="P41" s="28"/>
    </row>
    <row r="43" spans="2:26" x14ac:dyDescent="0.3">
      <c r="D43" s="9"/>
      <c r="E43" s="9"/>
      <c r="F43" s="7"/>
      <c r="Q43" s="9"/>
      <c r="R43" s="9"/>
      <c r="S43" s="7"/>
    </row>
  </sheetData>
  <sheetProtection algorithmName="SHA-512" hashValue="83LRNY5ov93HMRoO5+hF2wGHKMQb1xLoA8Ph4PzGTBuED+hWsl7b5bvc3Kdrl6YYQAdq4UZrDDOU0X+a/VWxcA==" saltValue="rrhIhLDUxKk18NECsLJX+Q==" spinCount="100000" sheet="1" objects="1" scenarios="1" selectLockedCells="1"/>
  <mergeCells count="26">
    <mergeCell ref="Q37:Z37"/>
    <mergeCell ref="Q38:Z38"/>
    <mergeCell ref="Q19:Z19"/>
    <mergeCell ref="S21:Z21"/>
    <mergeCell ref="Q2:Z2"/>
    <mergeCell ref="Q3:Z3"/>
    <mergeCell ref="U6:Y6"/>
    <mergeCell ref="U8:V8"/>
    <mergeCell ref="Q12:Z12"/>
    <mergeCell ref="S14:Z14"/>
    <mergeCell ref="T15:Z15"/>
    <mergeCell ref="T16:Z17"/>
    <mergeCell ref="Q18:Z18"/>
    <mergeCell ref="D38:M38"/>
    <mergeCell ref="D2:M2"/>
    <mergeCell ref="D3:M3"/>
    <mergeCell ref="H6:L6"/>
    <mergeCell ref="H8:I8"/>
    <mergeCell ref="D12:M12"/>
    <mergeCell ref="D19:M19"/>
    <mergeCell ref="F21:M21"/>
    <mergeCell ref="D37:M37"/>
    <mergeCell ref="F14:M14"/>
    <mergeCell ref="G15:M15"/>
    <mergeCell ref="G16:M17"/>
    <mergeCell ref="D18:M18"/>
  </mergeCells>
  <dataValidations count="2">
    <dataValidation type="list" allowBlank="1" showInputMessage="1" showErrorMessage="1" sqref="E21 R21 F15:F16" xr:uid="{27BA0A87-EE63-446B-ADD5-6ED72AD84729}">
      <formula1>$C$4:$C$5</formula1>
    </dataValidation>
    <dataValidation type="list" operator="greaterThanOrEqual" showInputMessage="1" showErrorMessage="1" sqref="S15:S16" xr:uid="{5CFCD2C9-F6F0-421F-9555-58B81BBEA00C}">
      <formula1>$C$4:$C$5</formula1>
    </dataValidation>
  </dataValidations>
  <pageMargins left="0.7" right="0.7" top="0.75" bottom="0.75" header="0.3" footer="0.3"/>
  <pageSetup scale="71" orientation="portrait" r:id="rId1"/>
  <headerFooter>
    <oddFooter>&amp;CTab: &amp;A&amp;RPrint Date: &amp;D</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2:AH108"/>
  <sheetViews>
    <sheetView showGridLines="0" view="pageBreakPreview" zoomScaleNormal="100" zoomScaleSheetLayoutView="100" workbookViewId="0">
      <selection activeCell="E40" sqref="E40:H40"/>
    </sheetView>
  </sheetViews>
  <sheetFormatPr defaultColWidth="9.109375" defaultRowHeight="15.6" x14ac:dyDescent="0.3"/>
  <cols>
    <col min="1" max="1" width="3.5546875" style="1" customWidth="1"/>
    <col min="2" max="2" width="9.109375" style="2" hidden="1" customWidth="1"/>
    <col min="3" max="11" width="16.88671875" style="1" customWidth="1"/>
    <col min="12" max="12" width="3.5546875" style="30" customWidth="1"/>
    <col min="13" max="13" width="6.88671875" style="30" hidden="1" customWidth="1"/>
    <col min="14" max="14" width="9.109375" style="30" hidden="1" customWidth="1"/>
    <col min="15" max="15" width="3.44140625" style="30" hidden="1" customWidth="1"/>
    <col min="16" max="24" width="16.88671875" style="1" customWidth="1"/>
    <col min="25" max="25" width="14" style="1" customWidth="1"/>
    <col min="26" max="26" width="10" style="1" customWidth="1"/>
    <col min="27" max="27" width="12.88671875" style="2" hidden="1" customWidth="1"/>
    <col min="28" max="32" width="10" style="185" customWidth="1"/>
    <col min="33" max="33" width="10" style="30" customWidth="1"/>
    <col min="34" max="34" width="10" style="185" customWidth="1"/>
    <col min="35" max="36" width="10" style="1" customWidth="1"/>
    <col min="37" max="16384" width="9.109375" style="1"/>
  </cols>
  <sheetData>
    <row r="2" spans="3:29" x14ac:dyDescent="0.3">
      <c r="C2" s="647" t="s">
        <v>179</v>
      </c>
      <c r="D2" s="647"/>
      <c r="E2" s="647"/>
      <c r="F2" s="647"/>
      <c r="G2" s="647"/>
      <c r="H2" s="647"/>
      <c r="I2" s="647"/>
      <c r="J2" s="647"/>
      <c r="K2" s="647"/>
      <c r="P2" s="410" t="s">
        <v>179</v>
      </c>
      <c r="Q2" s="410"/>
      <c r="R2" s="410"/>
      <c r="S2" s="410"/>
      <c r="T2" s="410"/>
      <c r="U2" s="410"/>
      <c r="V2" s="410"/>
      <c r="W2" s="410"/>
      <c r="X2" s="410"/>
      <c r="Y2" s="9"/>
      <c r="Z2" s="9"/>
      <c r="AA2" s="230"/>
    </row>
    <row r="3" spans="3:29" ht="16.2" thickBot="1" x14ac:dyDescent="0.35">
      <c r="C3" s="411" t="s">
        <v>53</v>
      </c>
      <c r="D3" s="411"/>
      <c r="E3" s="411"/>
      <c r="F3" s="411"/>
      <c r="G3" s="411"/>
      <c r="H3" s="411"/>
      <c r="I3" s="411"/>
      <c r="J3" s="411"/>
      <c r="K3" s="411"/>
      <c r="P3" s="411" t="s">
        <v>54</v>
      </c>
      <c r="Q3" s="411"/>
      <c r="R3" s="411"/>
      <c r="S3" s="411"/>
      <c r="T3" s="411"/>
      <c r="U3" s="411"/>
      <c r="V3" s="411"/>
      <c r="W3" s="411"/>
      <c r="X3" s="411"/>
      <c r="AA3" s="339" t="s">
        <v>244</v>
      </c>
      <c r="AB3" s="648"/>
      <c r="AC3" s="648"/>
    </row>
    <row r="4" spans="3:29" x14ac:dyDescent="0.3">
      <c r="C4" s="2"/>
      <c r="D4" s="2"/>
      <c r="E4" s="2"/>
      <c r="F4" s="2"/>
      <c r="G4" s="2"/>
      <c r="H4" s="2"/>
      <c r="I4" s="2"/>
      <c r="J4" s="2"/>
      <c r="K4" s="2"/>
      <c r="P4" s="2"/>
      <c r="Q4" s="2"/>
      <c r="R4" s="2"/>
      <c r="S4" s="2"/>
      <c r="T4" s="2"/>
      <c r="U4" s="2"/>
      <c r="V4" s="2"/>
      <c r="W4" s="2"/>
      <c r="X4" s="2"/>
      <c r="Y4" s="2"/>
      <c r="Z4" s="2"/>
      <c r="AA4" s="2" t="s">
        <v>246</v>
      </c>
      <c r="AB4" s="198"/>
      <c r="AC4" s="198"/>
    </row>
    <row r="5" spans="3:29" x14ac:dyDescent="0.3">
      <c r="C5" s="2"/>
      <c r="E5" s="56" t="s">
        <v>0</v>
      </c>
      <c r="F5" s="21" t="str">
        <f>IF(Summary!$E$5="","",Summary!$E$5)</f>
        <v/>
      </c>
      <c r="H5" s="86"/>
      <c r="I5" s="86"/>
      <c r="J5" s="86"/>
      <c r="K5" s="86"/>
      <c r="P5" s="2"/>
      <c r="R5" s="56" t="s">
        <v>0</v>
      </c>
      <c r="S5" s="21" t="str">
        <f>IF(Summary!$S$5="","",Summary!$S$5)</f>
        <v/>
      </c>
      <c r="T5" s="86"/>
      <c r="U5" s="86"/>
      <c r="V5" s="86"/>
      <c r="W5" s="86"/>
      <c r="X5" s="86"/>
      <c r="Y5" s="86"/>
      <c r="Z5" s="86"/>
      <c r="AA5" s="2" t="s">
        <v>247</v>
      </c>
    </row>
    <row r="6" spans="3:29" x14ac:dyDescent="0.3">
      <c r="E6" s="56" t="s">
        <v>1</v>
      </c>
      <c r="F6" s="653" t="str">
        <f>IF(Summary!E6="","",Summary!E6)</f>
        <v/>
      </c>
      <c r="G6" s="654"/>
      <c r="H6" s="654"/>
      <c r="I6" s="655"/>
      <c r="K6" s="86"/>
      <c r="R6" s="56" t="s">
        <v>1</v>
      </c>
      <c r="S6" s="461" t="str">
        <f>IF(Summary!$S6="","",Summary!$S6)</f>
        <v/>
      </c>
      <c r="T6" s="461"/>
      <c r="U6" s="461" t="str">
        <f>IF(Summary!$S6="","",Summary!$S6)</f>
        <v/>
      </c>
      <c r="V6" s="461"/>
    </row>
    <row r="7" spans="3:29" x14ac:dyDescent="0.3">
      <c r="E7" s="56"/>
      <c r="G7" s="182"/>
      <c r="H7" s="26"/>
      <c r="I7" s="86"/>
      <c r="J7" s="86"/>
      <c r="K7" s="86"/>
      <c r="R7" s="56"/>
      <c r="S7" s="163"/>
      <c r="T7" s="163"/>
      <c r="U7" s="86"/>
      <c r="V7" s="86"/>
      <c r="W7" s="86"/>
      <c r="X7" s="86"/>
      <c r="Y7" s="86"/>
      <c r="Z7" s="86"/>
    </row>
    <row r="8" spans="3:29" x14ac:dyDescent="0.3">
      <c r="E8" s="56" t="s">
        <v>48</v>
      </c>
      <c r="F8" s="526" t="str">
        <f>IF(Summary!E8="","",Summary!E8)</f>
        <v/>
      </c>
      <c r="G8" s="527"/>
      <c r="H8" s="84"/>
      <c r="I8" s="86"/>
      <c r="J8" s="86"/>
      <c r="K8" s="86"/>
      <c r="R8" s="56" t="s">
        <v>48</v>
      </c>
      <c r="S8" s="526" t="str">
        <f>IF(Summary!$S8="","",Summary!$S8)</f>
        <v/>
      </c>
      <c r="T8" s="527"/>
      <c r="U8" s="86"/>
      <c r="V8" s="86"/>
      <c r="W8" s="86"/>
      <c r="X8" s="86"/>
      <c r="Y8" s="86"/>
      <c r="Z8" s="86"/>
    </row>
    <row r="9" spans="3:29" x14ac:dyDescent="0.3">
      <c r="E9" s="84"/>
      <c r="G9" s="84"/>
      <c r="H9" s="84"/>
      <c r="I9" s="84"/>
      <c r="J9" s="86"/>
      <c r="K9" s="86"/>
      <c r="R9" s="56"/>
      <c r="S9" s="84"/>
      <c r="T9" s="84"/>
      <c r="U9" s="84"/>
      <c r="V9" s="84"/>
      <c r="W9" s="84"/>
      <c r="X9" s="86"/>
      <c r="Y9" s="86"/>
      <c r="Z9" s="86"/>
    </row>
    <row r="10" spans="3:29" x14ac:dyDescent="0.3">
      <c r="E10" s="56" t="s">
        <v>45</v>
      </c>
      <c r="F10" s="23">
        <f>IF(C32="",SUM(F51,C64:C66),0)</f>
        <v>0</v>
      </c>
      <c r="H10" s="53"/>
      <c r="I10" s="84"/>
      <c r="J10" s="86"/>
      <c r="K10" s="86"/>
      <c r="O10" s="2"/>
      <c r="R10" s="56" t="s">
        <v>46</v>
      </c>
      <c r="S10" s="23">
        <f>IF(P32="",SUM(S51,P64:P66),0)</f>
        <v>0</v>
      </c>
      <c r="U10" s="53"/>
      <c r="V10" s="84"/>
      <c r="W10" s="86"/>
      <c r="X10" s="86"/>
      <c r="Y10" s="86"/>
      <c r="Z10" s="86"/>
    </row>
    <row r="11" spans="3:29" ht="16.2" thickBot="1" x14ac:dyDescent="0.35">
      <c r="C11" s="3"/>
      <c r="D11" s="3"/>
      <c r="E11" s="3"/>
      <c r="F11" s="3"/>
      <c r="G11" s="3"/>
      <c r="H11" s="3"/>
      <c r="I11" s="3"/>
      <c r="J11" s="3"/>
      <c r="K11" s="3"/>
      <c r="O11" s="2"/>
      <c r="P11" s="3"/>
      <c r="Q11" s="3"/>
      <c r="R11" s="3"/>
      <c r="S11" s="3"/>
      <c r="T11" s="3"/>
      <c r="U11" s="3"/>
      <c r="V11" s="3"/>
      <c r="W11" s="3"/>
      <c r="X11" s="3"/>
    </row>
    <row r="12" spans="3:29" x14ac:dyDescent="0.3">
      <c r="O12" s="2"/>
    </row>
    <row r="13" spans="3:29" ht="63.75" customHeight="1" x14ac:dyDescent="0.3">
      <c r="C13" s="656" t="s">
        <v>573</v>
      </c>
      <c r="D13" s="656"/>
      <c r="E13" s="656"/>
      <c r="F13" s="656"/>
      <c r="G13" s="656"/>
      <c r="H13" s="656"/>
      <c r="I13" s="656"/>
      <c r="J13" s="656"/>
      <c r="K13" s="656"/>
      <c r="O13" s="2"/>
      <c r="P13" s="656" t="s">
        <v>573</v>
      </c>
      <c r="Q13" s="656"/>
      <c r="R13" s="656"/>
      <c r="S13" s="656"/>
      <c r="T13" s="656"/>
      <c r="U13" s="656"/>
      <c r="V13" s="656"/>
      <c r="W13" s="656"/>
      <c r="X13" s="656"/>
      <c r="Y13" s="177"/>
      <c r="Z13" s="177"/>
    </row>
    <row r="14" spans="3:29" x14ac:dyDescent="0.3">
      <c r="C14" s="353"/>
      <c r="D14" s="353"/>
      <c r="E14" s="353"/>
      <c r="F14" s="353"/>
      <c r="G14" s="353"/>
      <c r="H14" s="353"/>
      <c r="I14" s="353"/>
      <c r="J14" s="353"/>
      <c r="K14" s="353"/>
      <c r="O14" s="2"/>
      <c r="P14" s="353"/>
      <c r="Q14" s="353"/>
      <c r="R14" s="353"/>
      <c r="S14" s="353"/>
      <c r="T14" s="353"/>
      <c r="U14" s="353"/>
      <c r="V14" s="353"/>
      <c r="W14" s="353"/>
      <c r="X14" s="353"/>
      <c r="Y14" s="177"/>
      <c r="Z14" s="177"/>
    </row>
    <row r="15" spans="3:29" x14ac:dyDescent="0.3">
      <c r="C15" s="659" t="s">
        <v>204</v>
      </c>
      <c r="D15" s="659"/>
      <c r="E15" s="659"/>
      <c r="F15" s="659"/>
      <c r="G15" s="659"/>
      <c r="H15" s="659"/>
      <c r="I15" s="659"/>
      <c r="J15" s="659"/>
      <c r="K15" s="659"/>
      <c r="O15" s="2"/>
      <c r="P15" s="659" t="s">
        <v>204</v>
      </c>
      <c r="Q15" s="659"/>
      <c r="R15" s="659"/>
      <c r="S15" s="659"/>
      <c r="T15" s="659"/>
      <c r="U15" s="659"/>
      <c r="V15" s="659"/>
      <c r="W15" s="659"/>
      <c r="X15" s="659"/>
      <c r="Y15" s="177"/>
      <c r="Z15" s="177"/>
    </row>
    <row r="16" spans="3:29" ht="63.75" customHeight="1" x14ac:dyDescent="0.3">
      <c r="C16" s="656" t="s">
        <v>646</v>
      </c>
      <c r="D16" s="656"/>
      <c r="E16" s="656"/>
      <c r="F16" s="656"/>
      <c r="G16" s="656"/>
      <c r="H16" s="656"/>
      <c r="I16" s="656"/>
      <c r="J16" s="656"/>
      <c r="K16" s="656"/>
      <c r="O16" s="2"/>
      <c r="P16" s="656" t="s">
        <v>466</v>
      </c>
      <c r="Q16" s="656"/>
      <c r="R16" s="656"/>
      <c r="S16" s="656"/>
      <c r="T16" s="656"/>
      <c r="U16" s="656"/>
      <c r="V16" s="656"/>
      <c r="W16" s="656"/>
      <c r="X16" s="656"/>
      <c r="Y16" s="177"/>
      <c r="Z16" s="177"/>
    </row>
    <row r="17" spans="3:26" x14ac:dyDescent="0.3">
      <c r="C17" s="352"/>
      <c r="D17" s="352"/>
      <c r="E17" s="352"/>
      <c r="F17" s="352"/>
      <c r="G17" s="352"/>
      <c r="H17" s="352"/>
      <c r="I17" s="352"/>
      <c r="J17" s="352"/>
      <c r="K17" s="352"/>
      <c r="O17" s="2"/>
      <c r="P17" s="352"/>
      <c r="Q17" s="352"/>
      <c r="R17" s="352"/>
      <c r="S17" s="352"/>
      <c r="T17" s="352"/>
      <c r="U17" s="352"/>
      <c r="V17" s="352"/>
      <c r="W17" s="352"/>
      <c r="X17" s="352"/>
      <c r="Y17" s="177"/>
      <c r="Z17" s="177"/>
    </row>
    <row r="18" spans="3:26" x14ac:dyDescent="0.3">
      <c r="C18" s="656" t="s">
        <v>462</v>
      </c>
      <c r="D18" s="656"/>
      <c r="E18" s="656"/>
      <c r="F18" s="656"/>
      <c r="G18" s="656"/>
      <c r="H18" s="656"/>
      <c r="I18" s="656"/>
      <c r="J18" s="656"/>
      <c r="K18" s="656"/>
      <c r="O18" s="2"/>
      <c r="P18" s="656" t="s">
        <v>462</v>
      </c>
      <c r="Q18" s="656"/>
      <c r="R18" s="656"/>
      <c r="S18" s="656"/>
      <c r="T18" s="656"/>
      <c r="U18" s="656"/>
      <c r="V18" s="656"/>
      <c r="W18" s="656"/>
      <c r="X18" s="656"/>
      <c r="Y18" s="177"/>
      <c r="Z18" s="177"/>
    </row>
    <row r="19" spans="3:26" x14ac:dyDescent="0.3">
      <c r="C19" s="657" t="s">
        <v>458</v>
      </c>
      <c r="D19" s="657"/>
      <c r="E19" s="657"/>
      <c r="F19" s="657"/>
      <c r="G19" s="657"/>
      <c r="H19" s="657"/>
      <c r="I19" s="657"/>
      <c r="J19" s="657"/>
      <c r="K19" s="657"/>
      <c r="O19" s="2"/>
      <c r="P19" s="657" t="s">
        <v>458</v>
      </c>
      <c r="Q19" s="657"/>
      <c r="R19" s="657"/>
      <c r="S19" s="657"/>
      <c r="T19" s="657"/>
      <c r="U19" s="657"/>
      <c r="V19" s="657"/>
      <c r="W19" s="657"/>
      <c r="X19" s="657"/>
      <c r="Y19" s="177"/>
      <c r="Z19" s="177"/>
    </row>
    <row r="20" spans="3:26" x14ac:dyDescent="0.3">
      <c r="C20" s="657" t="s">
        <v>459</v>
      </c>
      <c r="D20" s="657"/>
      <c r="E20" s="657"/>
      <c r="F20" s="657"/>
      <c r="G20" s="657"/>
      <c r="H20" s="657"/>
      <c r="I20" s="657"/>
      <c r="J20" s="657"/>
      <c r="K20" s="657"/>
      <c r="O20" s="2"/>
      <c r="P20" s="657" t="s">
        <v>459</v>
      </c>
      <c r="Q20" s="657"/>
      <c r="R20" s="657"/>
      <c r="S20" s="657"/>
      <c r="T20" s="657"/>
      <c r="U20" s="657"/>
      <c r="V20" s="657"/>
      <c r="W20" s="657"/>
      <c r="X20" s="657"/>
      <c r="Y20" s="177"/>
      <c r="Z20" s="177"/>
    </row>
    <row r="21" spans="3:26" x14ac:dyDescent="0.3">
      <c r="C21" s="657" t="s">
        <v>460</v>
      </c>
      <c r="D21" s="657"/>
      <c r="E21" s="657"/>
      <c r="F21" s="657"/>
      <c r="G21" s="657"/>
      <c r="H21" s="657"/>
      <c r="I21" s="657"/>
      <c r="J21" s="657"/>
      <c r="K21" s="657"/>
      <c r="O21" s="2"/>
      <c r="P21" s="657" t="s">
        <v>460</v>
      </c>
      <c r="Q21" s="657"/>
      <c r="R21" s="657"/>
      <c r="S21" s="657"/>
      <c r="T21" s="657"/>
      <c r="U21" s="657"/>
      <c r="V21" s="657"/>
      <c r="W21" s="657"/>
      <c r="X21" s="657"/>
      <c r="Y21" s="177"/>
      <c r="Z21" s="177"/>
    </row>
    <row r="22" spans="3:26" x14ac:dyDescent="0.3">
      <c r="C22" s="657" t="s">
        <v>461</v>
      </c>
      <c r="D22" s="657"/>
      <c r="E22" s="657"/>
      <c r="F22" s="657"/>
      <c r="G22" s="657"/>
      <c r="H22" s="657"/>
      <c r="I22" s="657"/>
      <c r="J22" s="657"/>
      <c r="K22" s="657"/>
      <c r="O22" s="2"/>
      <c r="P22" s="657" t="s">
        <v>461</v>
      </c>
      <c r="Q22" s="657"/>
      <c r="R22" s="657"/>
      <c r="S22" s="657"/>
      <c r="T22" s="657"/>
      <c r="U22" s="657"/>
      <c r="V22" s="657"/>
      <c r="W22" s="657"/>
      <c r="X22" s="657"/>
      <c r="Y22" s="177"/>
      <c r="Z22" s="177"/>
    </row>
    <row r="23" spans="3:26" x14ac:dyDescent="0.3">
      <c r="C23" s="658"/>
      <c r="D23" s="658"/>
      <c r="E23" s="658"/>
      <c r="F23" s="658"/>
      <c r="G23" s="658"/>
      <c r="H23" s="658"/>
      <c r="I23" s="658"/>
      <c r="J23" s="658"/>
      <c r="K23" s="658"/>
      <c r="O23" s="2"/>
      <c r="P23" s="658"/>
      <c r="Q23" s="658"/>
      <c r="R23" s="658"/>
      <c r="S23" s="658"/>
      <c r="T23" s="658"/>
      <c r="U23" s="658"/>
      <c r="V23" s="658"/>
      <c r="W23" s="658"/>
      <c r="X23" s="658"/>
      <c r="Y23" s="177"/>
      <c r="Z23" s="177"/>
    </row>
    <row r="24" spans="3:26" ht="30.75" customHeight="1" x14ac:dyDescent="0.3">
      <c r="C24" s="656" t="s">
        <v>463</v>
      </c>
      <c r="D24" s="656"/>
      <c r="E24" s="656"/>
      <c r="F24" s="656"/>
      <c r="G24" s="656"/>
      <c r="H24" s="656"/>
      <c r="I24" s="656"/>
      <c r="J24" s="656"/>
      <c r="K24" s="656"/>
      <c r="O24" s="2"/>
      <c r="P24" s="656" t="s">
        <v>463</v>
      </c>
      <c r="Q24" s="656"/>
      <c r="R24" s="656"/>
      <c r="S24" s="656"/>
      <c r="T24" s="656"/>
      <c r="U24" s="656"/>
      <c r="V24" s="656"/>
      <c r="W24" s="656"/>
      <c r="X24" s="656"/>
      <c r="Y24" s="177"/>
      <c r="Z24" s="177"/>
    </row>
    <row r="25" spans="3:26" x14ac:dyDescent="0.3">
      <c r="C25" s="657" t="s">
        <v>464</v>
      </c>
      <c r="D25" s="657"/>
      <c r="E25" s="657"/>
      <c r="F25" s="657"/>
      <c r="G25" s="657"/>
      <c r="H25" s="657"/>
      <c r="I25" s="657"/>
      <c r="J25" s="657"/>
      <c r="K25" s="657"/>
      <c r="O25" s="2"/>
      <c r="P25" s="657" t="s">
        <v>464</v>
      </c>
      <c r="Q25" s="657"/>
      <c r="R25" s="657"/>
      <c r="S25" s="657"/>
      <c r="T25" s="657"/>
      <c r="U25" s="657"/>
      <c r="V25" s="657"/>
      <c r="W25" s="657"/>
      <c r="X25" s="657"/>
      <c r="Y25" s="177"/>
      <c r="Z25" s="177"/>
    </row>
    <row r="26" spans="3:26" x14ac:dyDescent="0.3">
      <c r="C26" s="657" t="s">
        <v>647</v>
      </c>
      <c r="D26" s="657"/>
      <c r="E26" s="657"/>
      <c r="F26" s="657"/>
      <c r="G26" s="657"/>
      <c r="H26" s="657"/>
      <c r="I26" s="657"/>
      <c r="J26" s="657"/>
      <c r="K26" s="657"/>
      <c r="O26" s="2"/>
      <c r="P26" s="657" t="s">
        <v>465</v>
      </c>
      <c r="Q26" s="657"/>
      <c r="R26" s="657"/>
      <c r="S26" s="657"/>
      <c r="T26" s="657"/>
      <c r="U26" s="657"/>
      <c r="V26" s="657"/>
      <c r="W26" s="657"/>
      <c r="X26" s="657"/>
      <c r="Y26" s="177"/>
      <c r="Z26" s="177"/>
    </row>
    <row r="27" spans="3:26" x14ac:dyDescent="0.3">
      <c r="C27" s="354"/>
      <c r="D27" s="354"/>
      <c r="E27" s="354"/>
      <c r="F27" s="354"/>
      <c r="G27" s="354"/>
      <c r="H27" s="354"/>
      <c r="I27" s="354"/>
      <c r="J27" s="354"/>
      <c r="K27" s="354"/>
      <c r="O27" s="2"/>
      <c r="P27" s="354"/>
      <c r="Q27" s="354"/>
      <c r="R27" s="354"/>
      <c r="S27" s="354"/>
      <c r="T27" s="354"/>
      <c r="U27" s="354"/>
      <c r="V27" s="354"/>
      <c r="W27" s="354"/>
      <c r="X27" s="354"/>
      <c r="Y27" s="177"/>
      <c r="Z27" s="177"/>
    </row>
    <row r="28" spans="3:26" x14ac:dyDescent="0.3">
      <c r="C28" s="659" t="s">
        <v>205</v>
      </c>
      <c r="D28" s="659"/>
      <c r="E28" s="659"/>
      <c r="F28" s="659"/>
      <c r="G28" s="659"/>
      <c r="H28" s="659"/>
      <c r="I28" s="659"/>
      <c r="J28" s="659"/>
      <c r="K28" s="659"/>
      <c r="O28" s="2"/>
      <c r="P28" s="659" t="s">
        <v>205</v>
      </c>
      <c r="Q28" s="659"/>
      <c r="R28" s="659"/>
      <c r="S28" s="659"/>
      <c r="T28" s="659"/>
      <c r="U28" s="659"/>
      <c r="V28" s="659"/>
      <c r="W28" s="659"/>
      <c r="X28" s="659"/>
      <c r="Y28" s="177"/>
      <c r="Z28" s="177"/>
    </row>
    <row r="29" spans="3:26" ht="33" customHeight="1" x14ac:dyDescent="0.3">
      <c r="C29" s="656" t="s">
        <v>648</v>
      </c>
      <c r="D29" s="659"/>
      <c r="E29" s="659"/>
      <c r="F29" s="659"/>
      <c r="G29" s="659"/>
      <c r="H29" s="659"/>
      <c r="I29" s="659"/>
      <c r="J29" s="659"/>
      <c r="K29" s="659"/>
      <c r="O29" s="2"/>
      <c r="P29" s="656" t="s">
        <v>648</v>
      </c>
      <c r="Q29" s="659"/>
      <c r="R29" s="659"/>
      <c r="S29" s="659"/>
      <c r="T29" s="659"/>
      <c r="U29" s="659"/>
      <c r="V29" s="659"/>
      <c r="W29" s="659"/>
      <c r="X29" s="659"/>
      <c r="Y29" s="177"/>
      <c r="Z29" s="177"/>
    </row>
    <row r="30" spans="3:26" x14ac:dyDescent="0.3">
      <c r="C30" s="353"/>
      <c r="D30" s="352"/>
      <c r="E30" s="352"/>
      <c r="F30" s="352"/>
      <c r="G30" s="352"/>
      <c r="H30" s="352"/>
      <c r="I30" s="352"/>
      <c r="J30" s="352"/>
      <c r="K30" s="352"/>
      <c r="O30" s="2"/>
      <c r="P30" s="353"/>
      <c r="Q30" s="352"/>
      <c r="R30" s="352"/>
      <c r="S30" s="352"/>
      <c r="T30" s="352"/>
      <c r="U30" s="352"/>
      <c r="V30" s="352"/>
      <c r="W30" s="352"/>
      <c r="X30" s="352"/>
      <c r="Y30" s="177"/>
      <c r="Z30" s="177"/>
    </row>
    <row r="31" spans="3:26" ht="31.5" customHeight="1" x14ac:dyDescent="0.3">
      <c r="C31" s="656" t="s">
        <v>649</v>
      </c>
      <c r="D31" s="656"/>
      <c r="E31" s="656"/>
      <c r="F31" s="656"/>
      <c r="G31" s="656"/>
      <c r="H31" s="656"/>
      <c r="I31" s="656"/>
      <c r="J31" s="656"/>
      <c r="K31" s="656"/>
      <c r="O31" s="2"/>
      <c r="P31" s="656" t="s">
        <v>649</v>
      </c>
      <c r="Q31" s="656"/>
      <c r="R31" s="656"/>
      <c r="S31" s="656"/>
      <c r="T31" s="656"/>
      <c r="U31" s="656"/>
      <c r="V31" s="656"/>
      <c r="W31" s="656"/>
      <c r="X31" s="656"/>
      <c r="Y31" s="177"/>
      <c r="Z31" s="177"/>
    </row>
    <row r="32" spans="3:26" ht="18" x14ac:dyDescent="0.35">
      <c r="C32" s="660" t="str">
        <f>IF(AND(F51&lt;&gt;"",SUM(C64:C66)&lt;&gt;0),"ERROR: PROJECT MAY ONLY SCORE FOR RENTAL ASSISTANCE OR DEEPER INCOME TARGETING","")</f>
        <v/>
      </c>
      <c r="D32" s="660"/>
      <c r="E32" s="660"/>
      <c r="F32" s="660"/>
      <c r="G32" s="660"/>
      <c r="H32" s="660"/>
      <c r="I32" s="660"/>
      <c r="J32" s="660"/>
      <c r="K32" s="660"/>
      <c r="O32" s="2"/>
      <c r="P32" s="660" t="str">
        <f>IF(AND(S51&lt;&gt;"",SUM(P64:P66)&lt;&gt;0),"ERROR: PROJECT MAY ONLY SCORE FOR RENTAL ASSISTANCE OR DEEPER INCOME TARGETING","")</f>
        <v/>
      </c>
      <c r="Q32" s="660"/>
      <c r="R32" s="660"/>
      <c r="S32" s="660"/>
      <c r="T32" s="660"/>
      <c r="U32" s="660"/>
      <c r="V32" s="660"/>
      <c r="W32" s="660"/>
      <c r="X32" s="660"/>
      <c r="Y32" s="183"/>
      <c r="Z32" s="183"/>
    </row>
    <row r="33" spans="2:34" x14ac:dyDescent="0.3">
      <c r="O33" s="2"/>
    </row>
    <row r="34" spans="2:34" ht="16.2" thickBot="1" x14ac:dyDescent="0.35">
      <c r="C34" s="407" t="s">
        <v>180</v>
      </c>
      <c r="D34" s="407"/>
      <c r="E34" s="407"/>
      <c r="F34" s="407"/>
      <c r="G34" s="407"/>
      <c r="H34" s="407"/>
      <c r="I34" s="407"/>
      <c r="J34" s="407"/>
      <c r="K34" s="407"/>
      <c r="O34" s="2"/>
      <c r="P34" s="407" t="s">
        <v>180</v>
      </c>
      <c r="Q34" s="407"/>
      <c r="R34" s="407"/>
      <c r="S34" s="407"/>
      <c r="T34" s="407"/>
      <c r="U34" s="407"/>
      <c r="V34" s="407"/>
      <c r="W34" s="407"/>
      <c r="X34" s="407"/>
      <c r="Y34" s="9"/>
      <c r="Z34" s="9"/>
    </row>
    <row r="35" spans="2:34" x14ac:dyDescent="0.3">
      <c r="F35" s="155"/>
      <c r="G35" s="155"/>
      <c r="H35" s="155"/>
      <c r="I35" s="155"/>
      <c r="O35" s="2"/>
      <c r="S35" s="155"/>
      <c r="T35" s="155"/>
      <c r="U35" s="155"/>
      <c r="V35" s="155"/>
      <c r="Y35" s="2"/>
      <c r="Z35" s="2"/>
    </row>
    <row r="36" spans="2:34" x14ac:dyDescent="0.3">
      <c r="I36" s="168" t="s">
        <v>66</v>
      </c>
      <c r="J36" s="154">
        <f>Summary!K8</f>
        <v>0</v>
      </c>
      <c r="O36" s="2"/>
      <c r="V36" s="168" t="s">
        <v>66</v>
      </c>
      <c r="W36" s="154">
        <f>Summary!Y8</f>
        <v>0</v>
      </c>
      <c r="Y36" s="2"/>
      <c r="Z36" s="2"/>
    </row>
    <row r="37" spans="2:34" x14ac:dyDescent="0.3">
      <c r="O37" s="2"/>
      <c r="Y37" s="2"/>
      <c r="Z37" s="2"/>
    </row>
    <row r="38" spans="2:34" x14ac:dyDescent="0.3">
      <c r="D38" s="462" t="s">
        <v>204</v>
      </c>
      <c r="E38" s="462"/>
      <c r="F38" s="462"/>
      <c r="G38" s="462"/>
      <c r="H38" s="462"/>
      <c r="I38" s="462"/>
      <c r="J38" s="462"/>
      <c r="O38" s="2"/>
      <c r="Q38" s="462" t="s">
        <v>204</v>
      </c>
      <c r="R38" s="462"/>
      <c r="S38" s="462"/>
      <c r="T38" s="462"/>
      <c r="U38" s="462"/>
      <c r="V38" s="462"/>
      <c r="W38" s="462"/>
      <c r="Y38" s="2"/>
      <c r="Z38" s="2"/>
    </row>
    <row r="39" spans="2:34" x14ac:dyDescent="0.3">
      <c r="C39" s="87" t="s">
        <v>208</v>
      </c>
      <c r="D39" s="230" t="s">
        <v>67</v>
      </c>
      <c r="E39" s="184" t="s">
        <v>206</v>
      </c>
      <c r="F39" s="87"/>
      <c r="G39" s="9"/>
      <c r="H39" s="54"/>
      <c r="I39" s="87" t="s">
        <v>60</v>
      </c>
      <c r="J39" s="356" t="s">
        <v>207</v>
      </c>
      <c r="K39" s="87" t="s">
        <v>61</v>
      </c>
      <c r="O39" s="2"/>
      <c r="P39" s="87" t="s">
        <v>208</v>
      </c>
      <c r="Q39" s="230" t="s">
        <v>67</v>
      </c>
      <c r="R39" s="184" t="s">
        <v>206</v>
      </c>
      <c r="S39" s="87"/>
      <c r="T39" s="9"/>
      <c r="U39" s="54"/>
      <c r="V39" s="87" t="s">
        <v>60</v>
      </c>
      <c r="W39" s="356" t="s">
        <v>207</v>
      </c>
      <c r="X39" s="87" t="s">
        <v>61</v>
      </c>
      <c r="Y39" s="2"/>
      <c r="Z39" s="2"/>
    </row>
    <row r="40" spans="2:34" x14ac:dyDescent="0.3">
      <c r="C40" s="341" t="str">
        <f>IF(AND(K40&gt;=10,I40&gt;0),"X","")</f>
        <v/>
      </c>
      <c r="D40" s="154">
        <v>1</v>
      </c>
      <c r="E40" s="649"/>
      <c r="F40" s="650"/>
      <c r="G40" s="650"/>
      <c r="H40" s="651"/>
      <c r="I40" s="205"/>
      <c r="J40" s="63" t="str">
        <f>IFERROR(IF((I40/J$36)=0,"",I40/J$36),"")</f>
        <v/>
      </c>
      <c r="K40" s="205"/>
      <c r="O40" s="2"/>
      <c r="P40" s="341" t="str">
        <f>IF(AND(X40&gt;=10,V40&gt;0),"X","")</f>
        <v/>
      </c>
      <c r="Q40" s="154">
        <v>1</v>
      </c>
      <c r="R40" s="642"/>
      <c r="S40" s="643"/>
      <c r="T40" s="643"/>
      <c r="U40" s="644"/>
      <c r="V40" s="156"/>
      <c r="W40" s="63" t="str">
        <f>IFERROR(IF((V40/W$36)=0,"",V40/W$36),"")</f>
        <v/>
      </c>
      <c r="X40" s="156"/>
      <c r="Y40" s="2"/>
      <c r="Z40" s="2"/>
    </row>
    <row r="41" spans="2:34" x14ac:dyDescent="0.3">
      <c r="C41" s="341" t="str">
        <f t="shared" ref="C41:C47" si="0">IF(K41&gt;=10,"X","")</f>
        <v/>
      </c>
      <c r="D41" s="154">
        <v>2</v>
      </c>
      <c r="E41" s="649"/>
      <c r="F41" s="650"/>
      <c r="G41" s="650"/>
      <c r="H41" s="651"/>
      <c r="I41" s="205"/>
      <c r="J41" s="63" t="str">
        <f t="shared" ref="J41:J47" si="1">IFERROR(IF((I41/J$36)=0,"",I41/J$36),"")</f>
        <v/>
      </c>
      <c r="K41" s="205"/>
      <c r="O41" s="2"/>
      <c r="P41" s="341" t="str">
        <f t="shared" ref="P41:P47" si="2">IF(X41&gt;=10,"X","")</f>
        <v/>
      </c>
      <c r="Q41" s="154">
        <v>2</v>
      </c>
      <c r="R41" s="642"/>
      <c r="S41" s="643"/>
      <c r="T41" s="643"/>
      <c r="U41" s="644"/>
      <c r="V41" s="156"/>
      <c r="W41" s="63" t="str">
        <f t="shared" ref="W41:W47" si="3">IFERROR(IF((V41/W$36)=0,"",V41/W$36),"")</f>
        <v/>
      </c>
      <c r="X41" s="350"/>
    </row>
    <row r="42" spans="2:34" x14ac:dyDescent="0.3">
      <c r="C42" s="341" t="str">
        <f t="shared" si="0"/>
        <v/>
      </c>
      <c r="D42" s="154">
        <v>3</v>
      </c>
      <c r="E42" s="649"/>
      <c r="F42" s="650"/>
      <c r="G42" s="650"/>
      <c r="H42" s="651"/>
      <c r="I42" s="205"/>
      <c r="J42" s="63" t="str">
        <f t="shared" si="1"/>
        <v/>
      </c>
      <c r="K42" s="205"/>
      <c r="O42" s="2"/>
      <c r="P42" s="341" t="str">
        <f t="shared" si="2"/>
        <v/>
      </c>
      <c r="Q42" s="154">
        <v>3</v>
      </c>
      <c r="R42" s="642"/>
      <c r="S42" s="643"/>
      <c r="T42" s="643"/>
      <c r="U42" s="644"/>
      <c r="V42" s="156"/>
      <c r="W42" s="63" t="str">
        <f t="shared" si="3"/>
        <v/>
      </c>
      <c r="X42" s="350"/>
      <c r="Y42" s="2"/>
      <c r="Z42" s="2"/>
    </row>
    <row r="43" spans="2:34" x14ac:dyDescent="0.3">
      <c r="C43" s="341" t="str">
        <f t="shared" si="0"/>
        <v/>
      </c>
      <c r="D43" s="154">
        <v>4</v>
      </c>
      <c r="E43" s="649"/>
      <c r="F43" s="650"/>
      <c r="G43" s="650"/>
      <c r="H43" s="651"/>
      <c r="I43" s="205"/>
      <c r="J43" s="63" t="str">
        <f t="shared" si="1"/>
        <v/>
      </c>
      <c r="K43" s="205"/>
      <c r="O43" s="2"/>
      <c r="P43" s="341" t="str">
        <f t="shared" si="2"/>
        <v/>
      </c>
      <c r="Q43" s="154">
        <v>4</v>
      </c>
      <c r="R43" s="642"/>
      <c r="S43" s="643"/>
      <c r="T43" s="643"/>
      <c r="U43" s="644"/>
      <c r="V43" s="156"/>
      <c r="W43" s="63" t="str">
        <f t="shared" si="3"/>
        <v/>
      </c>
      <c r="X43" s="350"/>
      <c r="Y43" s="2"/>
      <c r="Z43" s="2"/>
    </row>
    <row r="44" spans="2:34" x14ac:dyDescent="0.3">
      <c r="C44" s="341" t="str">
        <f t="shared" si="0"/>
        <v/>
      </c>
      <c r="D44" s="154">
        <v>5</v>
      </c>
      <c r="E44" s="649"/>
      <c r="F44" s="650"/>
      <c r="G44" s="650"/>
      <c r="H44" s="651"/>
      <c r="I44" s="205"/>
      <c r="J44" s="63" t="str">
        <f t="shared" si="1"/>
        <v/>
      </c>
      <c r="K44" s="205"/>
      <c r="O44" s="2"/>
      <c r="P44" s="341" t="str">
        <f t="shared" si="2"/>
        <v/>
      </c>
      <c r="Q44" s="154">
        <v>5</v>
      </c>
      <c r="R44" s="642"/>
      <c r="S44" s="643"/>
      <c r="T44" s="643"/>
      <c r="U44" s="644"/>
      <c r="V44" s="156"/>
      <c r="W44" s="63" t="str">
        <f t="shared" si="3"/>
        <v/>
      </c>
      <c r="X44" s="350"/>
      <c r="Y44" s="2"/>
      <c r="Z44" s="2"/>
    </row>
    <row r="45" spans="2:34" x14ac:dyDescent="0.3">
      <c r="C45" s="341" t="str">
        <f t="shared" si="0"/>
        <v/>
      </c>
      <c r="D45" s="154">
        <v>6</v>
      </c>
      <c r="E45" s="649"/>
      <c r="F45" s="650"/>
      <c r="G45" s="650"/>
      <c r="H45" s="651"/>
      <c r="I45" s="205"/>
      <c r="J45" s="63" t="str">
        <f t="shared" si="1"/>
        <v/>
      </c>
      <c r="K45" s="205"/>
      <c r="O45" s="2"/>
      <c r="P45" s="341" t="str">
        <f t="shared" si="2"/>
        <v/>
      </c>
      <c r="Q45" s="154">
        <v>6</v>
      </c>
      <c r="R45" s="642"/>
      <c r="S45" s="643"/>
      <c r="T45" s="643"/>
      <c r="U45" s="644"/>
      <c r="V45" s="156"/>
      <c r="W45" s="63" t="str">
        <f t="shared" si="3"/>
        <v/>
      </c>
      <c r="X45" s="350"/>
    </row>
    <row r="46" spans="2:34" x14ac:dyDescent="0.3">
      <c r="C46" s="341" t="str">
        <f t="shared" si="0"/>
        <v/>
      </c>
      <c r="D46" s="154">
        <v>7</v>
      </c>
      <c r="E46" s="649"/>
      <c r="F46" s="650"/>
      <c r="G46" s="650"/>
      <c r="H46" s="651"/>
      <c r="I46" s="205"/>
      <c r="J46" s="63" t="str">
        <f t="shared" si="1"/>
        <v/>
      </c>
      <c r="K46" s="205"/>
      <c r="O46" s="2"/>
      <c r="P46" s="341" t="str">
        <f t="shared" si="2"/>
        <v/>
      </c>
      <c r="Q46" s="154">
        <v>7</v>
      </c>
      <c r="R46" s="642"/>
      <c r="S46" s="643"/>
      <c r="T46" s="643"/>
      <c r="U46" s="644"/>
      <c r="V46" s="156"/>
      <c r="W46" s="63" t="str">
        <f t="shared" si="3"/>
        <v/>
      </c>
      <c r="X46" s="350"/>
    </row>
    <row r="47" spans="2:34" s="54" customFormat="1" x14ac:dyDescent="0.3">
      <c r="B47" s="87"/>
      <c r="C47" s="341" t="str">
        <f t="shared" si="0"/>
        <v/>
      </c>
      <c r="D47" s="154">
        <v>8</v>
      </c>
      <c r="E47" s="649"/>
      <c r="F47" s="650"/>
      <c r="G47" s="650"/>
      <c r="H47" s="651"/>
      <c r="I47" s="205"/>
      <c r="J47" s="63" t="str">
        <f t="shared" si="1"/>
        <v/>
      </c>
      <c r="K47" s="205"/>
      <c r="L47" s="30"/>
      <c r="M47" s="30"/>
      <c r="N47" s="30"/>
      <c r="O47" s="87"/>
      <c r="P47" s="341" t="str">
        <f t="shared" si="2"/>
        <v/>
      </c>
      <c r="Q47" s="154">
        <v>8</v>
      </c>
      <c r="R47" s="642"/>
      <c r="S47" s="643"/>
      <c r="T47" s="643"/>
      <c r="U47" s="644"/>
      <c r="V47" s="156"/>
      <c r="W47" s="63" t="str">
        <f t="shared" si="3"/>
        <v/>
      </c>
      <c r="X47" s="350"/>
      <c r="Y47" s="2"/>
      <c r="Z47" s="2"/>
      <c r="AA47" s="2"/>
      <c r="AB47" s="65"/>
      <c r="AC47" s="65"/>
      <c r="AD47" s="65"/>
      <c r="AE47" s="65"/>
      <c r="AF47" s="65"/>
      <c r="AG47" s="64"/>
      <c r="AH47" s="65"/>
    </row>
    <row r="48" spans="2:34" s="54" customFormat="1" x14ac:dyDescent="0.3">
      <c r="B48" s="87"/>
      <c r="C48" s="1"/>
      <c r="D48" s="1"/>
      <c r="E48" s="1"/>
      <c r="F48" s="1"/>
      <c r="G48" s="1"/>
      <c r="H48" s="1"/>
      <c r="I48" s="341">
        <f>SUM(I40:I47)</f>
        <v>0</v>
      </c>
      <c r="J48" s="66" t="str">
        <f>IFERROR(I48/J$36,"")</f>
        <v/>
      </c>
      <c r="K48" s="1"/>
      <c r="L48" s="30"/>
      <c r="M48" s="30"/>
      <c r="N48" s="30"/>
      <c r="O48" s="87"/>
      <c r="P48" s="1"/>
      <c r="Q48" s="1"/>
      <c r="R48" s="1"/>
      <c r="S48" s="1"/>
      <c r="T48" s="1"/>
      <c r="U48" s="1"/>
      <c r="V48" s="341">
        <f>SUM(V40:V47)</f>
        <v>0</v>
      </c>
      <c r="W48" s="66" t="str">
        <f>IFERROR(V48/W$36,"")</f>
        <v/>
      </c>
      <c r="X48" s="1"/>
      <c r="Y48" s="2"/>
      <c r="Z48" s="2"/>
      <c r="AA48" s="2"/>
      <c r="AB48" s="65"/>
      <c r="AC48" s="65"/>
      <c r="AD48" s="65"/>
      <c r="AE48" s="65"/>
      <c r="AF48" s="65"/>
      <c r="AG48" s="64"/>
      <c r="AH48" s="65"/>
    </row>
    <row r="49" spans="2:34" x14ac:dyDescent="0.3">
      <c r="O49" s="2"/>
      <c r="Y49" s="2"/>
      <c r="Z49" s="2"/>
      <c r="AB49" s="652"/>
      <c r="AC49" s="652"/>
      <c r="AD49" s="652"/>
      <c r="AE49" s="652"/>
      <c r="AF49" s="652"/>
      <c r="AH49" s="198"/>
    </row>
    <row r="50" spans="2:34" ht="48" customHeight="1" x14ac:dyDescent="0.3">
      <c r="F50" s="167" t="s">
        <v>52</v>
      </c>
      <c r="G50" s="482" t="s">
        <v>209</v>
      </c>
      <c r="H50" s="483"/>
      <c r="O50" s="2"/>
      <c r="S50" s="167" t="s">
        <v>52</v>
      </c>
      <c r="T50" s="482" t="s">
        <v>209</v>
      </c>
      <c r="U50" s="483"/>
      <c r="Y50" s="2"/>
      <c r="Z50" s="2"/>
      <c r="AC50" s="648"/>
      <c r="AD50" s="648"/>
      <c r="AE50" s="648"/>
      <c r="AF50" s="648"/>
    </row>
    <row r="51" spans="2:34" ht="15.75" customHeight="1" x14ac:dyDescent="0.3">
      <c r="F51" s="154" t="str">
        <f>IFERROR(IF(AND(G51&gt;=0.1,G51&lt;0.25),4,IF(G51&gt;=0.25,8,"")),"")</f>
        <v/>
      </c>
      <c r="G51" s="645">
        <f>IFERROR(SUMIF(C40:C47,"X",I40:I47)/J36,0)</f>
        <v>0</v>
      </c>
      <c r="H51" s="646"/>
      <c r="O51" s="2"/>
      <c r="S51" s="154" t="str">
        <f>IFERROR(IF(AND(T51&gt;=0.1,T51&lt;0.25),4,IF(T51&gt;=0.25,8,"")),"")</f>
        <v/>
      </c>
      <c r="T51" s="645">
        <f>IFERROR(SUMIF(P40:P47,"X",V40:V47)/W36,0)</f>
        <v>0</v>
      </c>
      <c r="U51" s="646"/>
      <c r="Y51" s="2"/>
      <c r="Z51" s="2"/>
      <c r="AC51" s="198"/>
      <c r="AE51" s="198"/>
      <c r="AH51" s="198"/>
    </row>
    <row r="52" spans="2:34" x14ac:dyDescent="0.3">
      <c r="O52" s="2"/>
      <c r="Y52" s="2"/>
      <c r="Z52" s="2"/>
      <c r="AC52" s="198"/>
      <c r="AE52" s="198"/>
    </row>
    <row r="53" spans="2:34" ht="20.399999999999999" x14ac:dyDescent="0.35">
      <c r="C53" s="470" t="s">
        <v>215</v>
      </c>
      <c r="D53" s="470"/>
      <c r="E53" s="470"/>
      <c r="F53" s="470"/>
      <c r="G53" s="470"/>
      <c r="H53" s="470"/>
      <c r="I53" s="470"/>
      <c r="J53" s="470"/>
      <c r="K53" s="470"/>
      <c r="O53" s="2"/>
      <c r="P53" s="628" t="s">
        <v>215</v>
      </c>
      <c r="Q53" s="628"/>
      <c r="R53" s="628"/>
      <c r="S53" s="628"/>
      <c r="T53" s="628"/>
      <c r="U53" s="628"/>
      <c r="V53" s="628"/>
      <c r="W53" s="628"/>
      <c r="X53" s="628"/>
      <c r="Y53" s="2"/>
      <c r="Z53" s="2"/>
      <c r="AC53" s="198"/>
      <c r="AE53" s="198"/>
    </row>
    <row r="54" spans="2:34" ht="15.75" customHeight="1" x14ac:dyDescent="0.3">
      <c r="C54" s="183"/>
      <c r="D54" s="183"/>
      <c r="E54" s="183"/>
      <c r="F54" s="183"/>
      <c r="G54" s="183"/>
      <c r="O54" s="2"/>
      <c r="P54" s="183"/>
      <c r="Q54" s="183"/>
      <c r="R54" s="183"/>
      <c r="S54" s="183"/>
      <c r="T54" s="183"/>
      <c r="Y54" s="2"/>
      <c r="Z54" s="2"/>
    </row>
    <row r="55" spans="2:34" ht="15.75" customHeight="1" x14ac:dyDescent="0.3">
      <c r="C55" s="183"/>
      <c r="D55" s="462" t="s">
        <v>205</v>
      </c>
      <c r="E55" s="462"/>
      <c r="F55" s="462"/>
      <c r="G55" s="462"/>
      <c r="H55" s="462"/>
      <c r="I55" s="462"/>
      <c r="J55" s="462"/>
      <c r="O55" s="2"/>
      <c r="P55" s="183"/>
      <c r="Q55" s="462" t="s">
        <v>205</v>
      </c>
      <c r="R55" s="462"/>
      <c r="S55" s="462"/>
      <c r="T55" s="462"/>
      <c r="U55" s="462"/>
      <c r="V55" s="462"/>
      <c r="W55" s="462"/>
      <c r="Y55" s="2"/>
      <c r="Z55" s="2"/>
    </row>
    <row r="56" spans="2:34" ht="15.75" customHeight="1" x14ac:dyDescent="0.3">
      <c r="C56" s="641" t="str">
        <f>IF(AND(F60&lt;&gt;"",F60&lt;F59),"ERROR: 'TOTAL 30% AMI UNITS' MUST BE INCLUSIVE OF 'MANDATORY 30% AMI SRN UNITS' ","")</f>
        <v/>
      </c>
      <c r="D56" s="641"/>
      <c r="E56" s="641"/>
      <c r="F56" s="641"/>
      <c r="G56" s="641"/>
      <c r="H56" s="641"/>
      <c r="I56" s="641"/>
      <c r="J56" s="641"/>
      <c r="K56" s="641"/>
      <c r="O56" s="2"/>
      <c r="P56" s="641" t="str">
        <f>IF(AND(S60&lt;&gt;"",S60&lt;S59),"ERROR: 'TOTAL 30% AMI UNITS' MUST BE INCLUSIVE OF 'MANDATORY 30% AMI SRN UNITS' ","")</f>
        <v/>
      </c>
      <c r="Q56" s="641"/>
      <c r="R56" s="641"/>
      <c r="S56" s="641"/>
      <c r="T56" s="641"/>
      <c r="U56" s="641"/>
      <c r="V56" s="641"/>
      <c r="W56" s="641"/>
      <c r="X56" s="641"/>
      <c r="Y56" s="2"/>
      <c r="Z56" s="2"/>
    </row>
    <row r="57" spans="2:34" ht="15.75" customHeight="1" x14ac:dyDescent="0.3">
      <c r="C57" s="183"/>
      <c r="D57" s="339"/>
      <c r="E57" s="168" t="s">
        <v>318</v>
      </c>
      <c r="F57" s="357" t="str">
        <f>IF(Summary!$I$9="","",Summary!$I$9)</f>
        <v/>
      </c>
      <c r="H57" s="339"/>
      <c r="I57" s="339"/>
      <c r="J57" s="339"/>
      <c r="O57" s="2"/>
      <c r="P57" s="183"/>
      <c r="Q57" s="339"/>
      <c r="R57" s="168" t="s">
        <v>318</v>
      </c>
      <c r="S57" s="357" t="str">
        <f>IF(Summary!$W$9="","",Summary!$W$9)</f>
        <v/>
      </c>
      <c r="U57" s="339"/>
      <c r="V57" s="339"/>
      <c r="W57" s="339"/>
      <c r="Y57" s="2"/>
      <c r="Z57" s="2"/>
    </row>
    <row r="58" spans="2:34" ht="15.75" customHeight="1" x14ac:dyDescent="0.3">
      <c r="E58" s="22" t="s">
        <v>43</v>
      </c>
      <c r="F58" s="161">
        <f>Summary!$K$8</f>
        <v>0</v>
      </c>
      <c r="H58" s="479" t="s">
        <v>650</v>
      </c>
      <c r="I58" s="479"/>
      <c r="J58" s="480" t="s">
        <v>596</v>
      </c>
      <c r="K58" s="480"/>
      <c r="O58" s="2"/>
      <c r="R58" s="22" t="s">
        <v>43</v>
      </c>
      <c r="S58" s="161">
        <f>Summary!$Y$8</f>
        <v>0</v>
      </c>
      <c r="U58" s="479" t="s">
        <v>650</v>
      </c>
      <c r="V58" s="479"/>
      <c r="W58" s="480" t="s">
        <v>596</v>
      </c>
      <c r="X58" s="480"/>
      <c r="Y58" s="2"/>
      <c r="Z58" s="2"/>
      <c r="AC58" s="648"/>
      <c r="AD58" s="648"/>
      <c r="AE58" s="648"/>
      <c r="AF58" s="648"/>
    </row>
    <row r="59" spans="2:34" ht="15.75" customHeight="1" x14ac:dyDescent="0.3">
      <c r="C59" s="231"/>
      <c r="E59" s="22" t="s">
        <v>559</v>
      </c>
      <c r="F59" s="162" t="str">
        <f>IF(F57="","",IF(F57="Non Metro",ROUND(F58*0.05,0),IF(OR(F57="City of Chicago",F57="Chicago Metro",F57="Other Metro"),ROUND(F58*0.1,0),)))</f>
        <v/>
      </c>
      <c r="H59" s="479"/>
      <c r="I59" s="479"/>
      <c r="J59" s="480"/>
      <c r="K59" s="480"/>
      <c r="O59" s="2"/>
      <c r="P59" s="231"/>
      <c r="R59" s="22" t="s">
        <v>559</v>
      </c>
      <c r="S59" s="162" t="str">
        <f>IF(S57="","",IF(S57="Non Metro",ROUND(S58*0.05,0),IF(OR(S57="City of Chicago",S57="Chicago Metro",S57="Other Metro"),ROUND(S58*0.1,0),)))</f>
        <v/>
      </c>
      <c r="U59" s="479"/>
      <c r="V59" s="479"/>
      <c r="W59" s="480"/>
      <c r="X59" s="480"/>
      <c r="Y59" s="2"/>
      <c r="Z59" s="2"/>
      <c r="AC59" s="198"/>
      <c r="AE59" s="198"/>
      <c r="AH59" s="198"/>
    </row>
    <row r="60" spans="2:34" x14ac:dyDescent="0.3">
      <c r="C60" s="183"/>
      <c r="E60" s="168" t="s">
        <v>212</v>
      </c>
      <c r="F60" s="158"/>
      <c r="H60" s="645">
        <f>IF(F58&gt;0,(F60/F58),0%)</f>
        <v>0</v>
      </c>
      <c r="I60" s="646"/>
      <c r="J60" s="645">
        <f>IF(F58&gt;0,F61/F58,0)</f>
        <v>0</v>
      </c>
      <c r="K60" s="646"/>
      <c r="O60" s="2"/>
      <c r="P60" s="183"/>
      <c r="R60" s="168" t="s">
        <v>212</v>
      </c>
      <c r="S60" s="94"/>
      <c r="U60" s="645">
        <f>IF(S58&gt;0,(S60/S58),0%)</f>
        <v>0</v>
      </c>
      <c r="V60" s="646"/>
      <c r="W60" s="645">
        <f>IF(S58&gt;0,S61/S58,0)</f>
        <v>0</v>
      </c>
      <c r="X60" s="646"/>
      <c r="AC60" s="198"/>
      <c r="AE60" s="198"/>
    </row>
    <row r="61" spans="2:34" x14ac:dyDescent="0.3">
      <c r="C61" s="183"/>
      <c r="E61" s="168" t="s">
        <v>593</v>
      </c>
      <c r="F61" s="5">
        <f>IFERROR(IF((F60-F59)&gt;0,F60-F59,0),0)</f>
        <v>0</v>
      </c>
      <c r="H61" s="38"/>
      <c r="I61" s="38"/>
      <c r="J61" s="38"/>
      <c r="K61" s="2"/>
      <c r="O61" s="2"/>
      <c r="P61" s="183"/>
      <c r="R61" s="168" t="s">
        <v>593</v>
      </c>
      <c r="S61" s="5">
        <f>IFERROR(IF((S60-S59)&gt;0,S60-S59,0),0)</f>
        <v>0</v>
      </c>
      <c r="U61" s="38"/>
      <c r="V61" s="38"/>
      <c r="W61" s="38"/>
      <c r="X61" s="2"/>
      <c r="AC61" s="198"/>
      <c r="AE61" s="198"/>
    </row>
    <row r="62" spans="2:34" x14ac:dyDescent="0.3">
      <c r="B62" s="2" t="s">
        <v>52</v>
      </c>
      <c r="C62" s="9"/>
      <c r="D62" s="9"/>
      <c r="E62" s="9"/>
      <c r="F62" s="9"/>
      <c r="G62" s="9"/>
      <c r="H62" s="9"/>
      <c r="I62" s="9"/>
      <c r="J62" s="9"/>
      <c r="K62" s="9"/>
      <c r="O62" s="2" t="s">
        <v>52</v>
      </c>
      <c r="P62" s="9"/>
      <c r="Q62" s="9"/>
      <c r="R62" s="9"/>
      <c r="S62" s="9"/>
      <c r="T62" s="9"/>
      <c r="U62" s="9"/>
      <c r="V62" s="9"/>
      <c r="W62" s="9"/>
      <c r="X62" s="9"/>
    </row>
    <row r="63" spans="2:34" x14ac:dyDescent="0.3">
      <c r="C63" s="230" t="s">
        <v>52</v>
      </c>
      <c r="E63" s="7" t="s">
        <v>594</v>
      </c>
      <c r="F63" s="7"/>
      <c r="G63" s="7"/>
      <c r="H63" s="7"/>
      <c r="I63" s="7"/>
      <c r="J63" s="7"/>
      <c r="K63" s="7"/>
      <c r="O63" s="2"/>
      <c r="P63" s="230" t="s">
        <v>52</v>
      </c>
      <c r="R63" s="7" t="s">
        <v>594</v>
      </c>
      <c r="S63" s="7"/>
      <c r="T63" s="7"/>
      <c r="U63" s="7"/>
      <c r="V63" s="7"/>
      <c r="W63" s="7"/>
      <c r="X63" s="7"/>
    </row>
    <row r="64" spans="2:34" x14ac:dyDescent="0.3">
      <c r="B64" s="2">
        <v>4</v>
      </c>
      <c r="C64" s="167" t="str">
        <f>IF(D64="X",B64,"")</f>
        <v/>
      </c>
      <c r="D64" s="167" t="str">
        <f>IF(AND(J60&gt;=F64,J60&lt;F65),"X","")</f>
        <v/>
      </c>
      <c r="E64" s="166" t="s">
        <v>200</v>
      </c>
      <c r="F64" s="232">
        <v>0.05</v>
      </c>
      <c r="G64" s="62">
        <v>9.9900000000000003E-2</v>
      </c>
      <c r="H64" s="57"/>
      <c r="I64" s="57"/>
      <c r="J64" s="57"/>
      <c r="K64" s="57"/>
      <c r="O64" s="2">
        <v>4</v>
      </c>
      <c r="P64" s="167" t="str">
        <f>IF(Q64="X",O64,"")</f>
        <v/>
      </c>
      <c r="Q64" s="167" t="str">
        <f>IF(AND(W60&gt;=S64,W60&lt;S65),"X","")</f>
        <v/>
      </c>
      <c r="R64" s="166" t="s">
        <v>200</v>
      </c>
      <c r="S64" s="232">
        <v>0.05</v>
      </c>
      <c r="T64" s="62">
        <v>9.9900000000000003E-2</v>
      </c>
      <c r="U64" s="57"/>
      <c r="V64" s="57"/>
      <c r="W64" s="57"/>
      <c r="X64" s="57"/>
      <c r="Y64" s="177"/>
      <c r="Z64" s="177"/>
      <c r="AA64" s="169"/>
      <c r="AC64" s="648"/>
      <c r="AD64" s="648"/>
      <c r="AE64" s="648"/>
      <c r="AF64" s="648"/>
    </row>
    <row r="65" spans="2:34" ht="16.5" customHeight="1" x14ac:dyDescent="0.3">
      <c r="B65" s="2">
        <v>6</v>
      </c>
      <c r="C65" s="167" t="str">
        <f t="shared" ref="C65:C66" si="4">IF(D65="X",B65,"")</f>
        <v/>
      </c>
      <c r="D65" s="167" t="str">
        <f>IF(AND(J60&gt;=F65,J60&lt;F66),"X","")</f>
        <v/>
      </c>
      <c r="E65" s="166" t="s">
        <v>200</v>
      </c>
      <c r="F65" s="232">
        <v>0.1</v>
      </c>
      <c r="G65" s="62">
        <v>0.19989999999999999</v>
      </c>
      <c r="H65" s="57"/>
      <c r="I65" s="57"/>
      <c r="J65" s="57"/>
      <c r="K65" s="57"/>
      <c r="O65" s="2">
        <v>6</v>
      </c>
      <c r="P65" s="167" t="str">
        <f t="shared" ref="P65:P66" si="5">IF(Q65="X",O65,"")</f>
        <v/>
      </c>
      <c r="Q65" s="167" t="str">
        <f>IF(AND(W60&gt;=S65,W60&lt;S66),"X","")</f>
        <v/>
      </c>
      <c r="R65" s="166" t="s">
        <v>200</v>
      </c>
      <c r="S65" s="232">
        <v>0.1</v>
      </c>
      <c r="T65" s="62">
        <v>0.19989999999999999</v>
      </c>
      <c r="U65" s="57"/>
      <c r="V65" s="57"/>
      <c r="W65" s="57"/>
      <c r="X65" s="57"/>
      <c r="Y65" s="177"/>
      <c r="Z65" s="177"/>
      <c r="AA65" s="169"/>
      <c r="AC65" s="198"/>
      <c r="AE65" s="198"/>
      <c r="AH65" s="198"/>
    </row>
    <row r="66" spans="2:34" x14ac:dyDescent="0.3">
      <c r="B66" s="2">
        <v>8</v>
      </c>
      <c r="C66" s="167" t="str">
        <f t="shared" si="4"/>
        <v/>
      </c>
      <c r="D66" s="167" t="str">
        <f>IF(J60&gt;=F66,"X","")</f>
        <v/>
      </c>
      <c r="E66" s="166" t="s">
        <v>216</v>
      </c>
      <c r="F66" s="232">
        <v>0.2</v>
      </c>
      <c r="G66" s="62"/>
      <c r="H66" s="57"/>
      <c r="I66" s="57"/>
      <c r="J66" s="57"/>
      <c r="K66" s="57"/>
      <c r="O66" s="2">
        <v>8</v>
      </c>
      <c r="P66" s="167" t="str">
        <f t="shared" si="5"/>
        <v/>
      </c>
      <c r="Q66" s="167" t="str">
        <f>IF(W60&gt;=S66,"X","")</f>
        <v/>
      </c>
      <c r="R66" s="166" t="s">
        <v>216</v>
      </c>
      <c r="S66" s="232">
        <v>0.2</v>
      </c>
      <c r="T66" s="62"/>
      <c r="U66" s="57"/>
      <c r="V66" s="57"/>
      <c r="W66" s="57"/>
      <c r="X66" s="57"/>
      <c r="AC66" s="198"/>
      <c r="AE66" s="198"/>
    </row>
    <row r="67" spans="2:34" x14ac:dyDescent="0.3">
      <c r="AC67" s="198"/>
      <c r="AE67" s="198"/>
    </row>
    <row r="68" spans="2:34" x14ac:dyDescent="0.3">
      <c r="AC68" s="198"/>
      <c r="AE68" s="198"/>
    </row>
    <row r="71" spans="2:34" ht="15.75" customHeight="1" x14ac:dyDescent="0.3">
      <c r="AC71" s="648"/>
      <c r="AD71" s="648"/>
      <c r="AE71" s="648"/>
      <c r="AF71" s="648"/>
    </row>
    <row r="72" spans="2:34" ht="15.75" customHeight="1" x14ac:dyDescent="0.3">
      <c r="AC72" s="198"/>
      <c r="AE72" s="198"/>
      <c r="AH72" s="198"/>
    </row>
    <row r="73" spans="2:34" x14ac:dyDescent="0.3">
      <c r="AC73" s="198"/>
      <c r="AE73" s="198"/>
    </row>
    <row r="74" spans="2:34" x14ac:dyDescent="0.3">
      <c r="AC74" s="198"/>
      <c r="AE74" s="198"/>
    </row>
    <row r="75" spans="2:34" x14ac:dyDescent="0.3">
      <c r="AC75" s="198"/>
      <c r="AE75" s="198"/>
    </row>
    <row r="76" spans="2:34" x14ac:dyDescent="0.3">
      <c r="AC76" s="198"/>
      <c r="AE76" s="198"/>
    </row>
    <row r="79" spans="2:34" ht="15.75" customHeight="1" x14ac:dyDescent="0.3">
      <c r="AC79" s="648"/>
      <c r="AD79" s="648"/>
      <c r="AE79" s="648"/>
      <c r="AF79" s="648"/>
    </row>
    <row r="80" spans="2:34" ht="15.75" customHeight="1" x14ac:dyDescent="0.3">
      <c r="AC80" s="198"/>
      <c r="AE80" s="198"/>
      <c r="AH80" s="198"/>
    </row>
    <row r="81" spans="29:34" x14ac:dyDescent="0.3">
      <c r="AC81" s="198"/>
      <c r="AE81" s="198"/>
    </row>
    <row r="82" spans="29:34" x14ac:dyDescent="0.3">
      <c r="AC82" s="198"/>
      <c r="AE82" s="198"/>
    </row>
    <row r="83" spans="29:34" x14ac:dyDescent="0.3">
      <c r="AC83" s="198"/>
      <c r="AE83" s="198"/>
    </row>
    <row r="84" spans="29:34" x14ac:dyDescent="0.3">
      <c r="AC84" s="198"/>
      <c r="AE84" s="198"/>
    </row>
    <row r="87" spans="29:34" ht="15.75" customHeight="1" x14ac:dyDescent="0.3">
      <c r="AC87" s="648"/>
      <c r="AD87" s="648"/>
      <c r="AE87" s="648"/>
      <c r="AF87" s="648"/>
    </row>
    <row r="88" spans="29:34" ht="15.75" customHeight="1" x14ac:dyDescent="0.3">
      <c r="AC88" s="198"/>
      <c r="AE88" s="198"/>
      <c r="AH88" s="198"/>
    </row>
    <row r="89" spans="29:34" x14ac:dyDescent="0.3">
      <c r="AC89" s="198"/>
      <c r="AE89" s="198"/>
    </row>
    <row r="90" spans="29:34" x14ac:dyDescent="0.3">
      <c r="AC90" s="198"/>
      <c r="AE90" s="198"/>
    </row>
    <row r="91" spans="29:34" x14ac:dyDescent="0.3">
      <c r="AC91" s="198"/>
      <c r="AE91" s="198"/>
    </row>
    <row r="92" spans="29:34" x14ac:dyDescent="0.3">
      <c r="AC92" s="198"/>
      <c r="AE92" s="198"/>
    </row>
    <row r="95" spans="29:34" ht="15.75" customHeight="1" x14ac:dyDescent="0.3">
      <c r="AC95" s="648"/>
      <c r="AD95" s="648"/>
      <c r="AE95" s="648"/>
      <c r="AF95" s="648"/>
    </row>
    <row r="96" spans="29:34" ht="15.75" customHeight="1" x14ac:dyDescent="0.3">
      <c r="AC96" s="198"/>
      <c r="AE96" s="198"/>
      <c r="AH96" s="198"/>
    </row>
    <row r="97" spans="29:34" x14ac:dyDescent="0.3">
      <c r="AC97" s="198"/>
      <c r="AE97" s="198"/>
    </row>
    <row r="98" spans="29:34" x14ac:dyDescent="0.3">
      <c r="AC98" s="198"/>
      <c r="AE98" s="198"/>
    </row>
    <row r="99" spans="29:34" x14ac:dyDescent="0.3">
      <c r="AC99" s="198"/>
      <c r="AE99" s="198"/>
    </row>
    <row r="100" spans="29:34" x14ac:dyDescent="0.3">
      <c r="AC100" s="198"/>
      <c r="AE100" s="198"/>
    </row>
    <row r="103" spans="29:34" ht="15.75" customHeight="1" x14ac:dyDescent="0.3">
      <c r="AC103" s="648"/>
      <c r="AD103" s="648"/>
      <c r="AE103" s="648"/>
      <c r="AF103" s="648"/>
    </row>
    <row r="104" spans="29:34" ht="15.75" customHeight="1" x14ac:dyDescent="0.3">
      <c r="AC104" s="198"/>
      <c r="AE104" s="198"/>
      <c r="AH104" s="198"/>
    </row>
    <row r="105" spans="29:34" x14ac:dyDescent="0.3">
      <c r="AC105" s="198"/>
      <c r="AE105" s="198"/>
    </row>
    <row r="106" spans="29:34" x14ac:dyDescent="0.3">
      <c r="AC106" s="198"/>
      <c r="AE106" s="198"/>
    </row>
    <row r="107" spans="29:34" x14ac:dyDescent="0.3">
      <c r="AC107" s="198"/>
      <c r="AE107" s="198"/>
    </row>
    <row r="108" spans="29:34" x14ac:dyDescent="0.3">
      <c r="AC108" s="198"/>
      <c r="AE108" s="198"/>
    </row>
  </sheetData>
  <sheetProtection algorithmName="SHA-512" hashValue="Zf5cfxEVeJtQxcg70ykLv/i7xe5TOcUuHeYO267TM16t3U1+tADAm6/z1yNXU9H4FVABp9zDP8n6M6UQbZaN2w==" saltValue="V1F2YBkCTZ6eELtNGNfEbA==" spinCount="100000" sheet="1" objects="1" scenarios="1" selectLockedCells="1"/>
  <mergeCells count="96">
    <mergeCell ref="C32:K32"/>
    <mergeCell ref="C28:K28"/>
    <mergeCell ref="C29:K29"/>
    <mergeCell ref="C31:K31"/>
    <mergeCell ref="C16:K16"/>
    <mergeCell ref="P34:X34"/>
    <mergeCell ref="Q38:W38"/>
    <mergeCell ref="T50:U50"/>
    <mergeCell ref="T51:U51"/>
    <mergeCell ref="P20:X20"/>
    <mergeCell ref="P21:X21"/>
    <mergeCell ref="P22:X22"/>
    <mergeCell ref="P23:X23"/>
    <mergeCell ref="P24:X24"/>
    <mergeCell ref="P2:X2"/>
    <mergeCell ref="P3:X3"/>
    <mergeCell ref="S6:V6"/>
    <mergeCell ref="P13:X13"/>
    <mergeCell ref="P32:X32"/>
    <mergeCell ref="P25:X25"/>
    <mergeCell ref="P26:X26"/>
    <mergeCell ref="P28:X28"/>
    <mergeCell ref="P29:X29"/>
    <mergeCell ref="P31:X31"/>
    <mergeCell ref="S8:T8"/>
    <mergeCell ref="P15:X15"/>
    <mergeCell ref="P16:X16"/>
    <mergeCell ref="P18:X18"/>
    <mergeCell ref="P19:X19"/>
    <mergeCell ref="F6:I6"/>
    <mergeCell ref="F8:G8"/>
    <mergeCell ref="C53:K53"/>
    <mergeCell ref="D55:J55"/>
    <mergeCell ref="C34:K34"/>
    <mergeCell ref="C13:K13"/>
    <mergeCell ref="C19:K19"/>
    <mergeCell ref="C20:K20"/>
    <mergeCell ref="C21:K21"/>
    <mergeCell ref="C22:K22"/>
    <mergeCell ref="C23:K23"/>
    <mergeCell ref="C24:K24"/>
    <mergeCell ref="C18:K18"/>
    <mergeCell ref="C25:K25"/>
    <mergeCell ref="C26:K26"/>
    <mergeCell ref="C15:K15"/>
    <mergeCell ref="AC87:AD87"/>
    <mergeCell ref="AC79:AD79"/>
    <mergeCell ref="AC58:AD58"/>
    <mergeCell ref="AE87:AF87"/>
    <mergeCell ref="AC103:AD103"/>
    <mergeCell ref="AE103:AF103"/>
    <mergeCell ref="AC95:AD95"/>
    <mergeCell ref="AE95:AF95"/>
    <mergeCell ref="AB49:AF49"/>
    <mergeCell ref="AC50:AD50"/>
    <mergeCell ref="AE50:AF50"/>
    <mergeCell ref="AE79:AF79"/>
    <mergeCell ref="AC71:AD71"/>
    <mergeCell ref="AE71:AF71"/>
    <mergeCell ref="AC64:AD64"/>
    <mergeCell ref="AE64:AF64"/>
    <mergeCell ref="C2:K2"/>
    <mergeCell ref="C3:K3"/>
    <mergeCell ref="AB3:AC3"/>
    <mergeCell ref="AE58:AF58"/>
    <mergeCell ref="G50:H50"/>
    <mergeCell ref="G51:H51"/>
    <mergeCell ref="D38:J38"/>
    <mergeCell ref="R40:U40"/>
    <mergeCell ref="E40:H40"/>
    <mergeCell ref="E41:H41"/>
    <mergeCell ref="E42:H42"/>
    <mergeCell ref="E43:H43"/>
    <mergeCell ref="E44:H44"/>
    <mergeCell ref="E45:H45"/>
    <mergeCell ref="E46:H46"/>
    <mergeCell ref="E47:H47"/>
    <mergeCell ref="W58:X59"/>
    <mergeCell ref="U60:V60"/>
    <mergeCell ref="W60:X60"/>
    <mergeCell ref="H58:I59"/>
    <mergeCell ref="J58:K59"/>
    <mergeCell ref="H60:I60"/>
    <mergeCell ref="J60:K60"/>
    <mergeCell ref="U58:V59"/>
    <mergeCell ref="C56:K56"/>
    <mergeCell ref="P56:X56"/>
    <mergeCell ref="R41:U41"/>
    <mergeCell ref="R42:U42"/>
    <mergeCell ref="R43:U43"/>
    <mergeCell ref="R44:U44"/>
    <mergeCell ref="R45:U45"/>
    <mergeCell ref="R46:U46"/>
    <mergeCell ref="R47:U47"/>
    <mergeCell ref="Q55:W55"/>
    <mergeCell ref="P53:X53"/>
  </mergeCells>
  <dataValidations count="3">
    <dataValidation operator="greaterThanOrEqual" showInputMessage="1" showErrorMessage="1" sqref="Y44:AA46 I36:J36 K43:K48 G55 G38 C36 V36:W36 X43:X48 P36 T38 T55" xr:uid="{00000000-0002-0000-1200-000003000000}"/>
    <dataValidation type="whole" operator="greaterThanOrEqual" allowBlank="1" showInputMessage="1" showErrorMessage="1" sqref="F58 J61 W61 S58" xr:uid="{5B65DED8-D50D-4D12-BBFA-608604310B73}">
      <formula1>0</formula1>
    </dataValidation>
    <dataValidation type="decimal" operator="greaterThanOrEqual" showInputMessage="1" showErrorMessage="1" sqref="Z50:Z57" xr:uid="{00000000-0002-0000-1200-000001000000}">
      <formula1>0</formula1>
    </dataValidation>
  </dataValidations>
  <pageMargins left="0.7" right="0.7" top="0.75" bottom="0.75" header="0.3" footer="0.3"/>
  <pageSetup scale="54" orientation="portrait" r:id="rId1"/>
  <headerFooter>
    <oddFooter>&amp;CTab: &amp;A&amp;RPrint Date: &amp;D</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54D762-7A26-41C7-98B1-385D59AD1545}">
  <dimension ref="B1:Z21"/>
  <sheetViews>
    <sheetView showGridLines="0" view="pageBreakPreview" zoomScaleNormal="100" zoomScaleSheetLayoutView="100" workbookViewId="0">
      <selection activeCell="E17" sqref="E17"/>
    </sheetView>
  </sheetViews>
  <sheetFormatPr defaultColWidth="9.109375" defaultRowHeight="15.6" x14ac:dyDescent="0.3"/>
  <cols>
    <col min="1" max="1" width="3.5546875" style="1" customWidth="1"/>
    <col min="2" max="3" width="7.44140625" style="28" hidden="1" customWidth="1"/>
    <col min="4" max="5" width="4.88671875" style="1" customWidth="1"/>
    <col min="6" max="8" width="12.44140625" style="1" customWidth="1"/>
    <col min="9" max="9" width="14.44140625" style="1" customWidth="1"/>
    <col min="10" max="13" width="12.44140625" style="1" customWidth="1"/>
    <col min="14" max="14" width="3.5546875" style="1" customWidth="1"/>
    <col min="15" max="16" width="8" style="28" hidden="1" customWidth="1"/>
    <col min="17" max="18" width="4.88671875" style="1" customWidth="1"/>
    <col min="19" max="25" width="12.44140625" style="1" customWidth="1"/>
    <col min="26" max="26" width="15.109375" style="1" customWidth="1"/>
    <col min="27" max="16384" width="9.109375" style="1"/>
  </cols>
  <sheetData>
    <row r="1" spans="3:26" x14ac:dyDescent="0.3">
      <c r="N1" s="50"/>
    </row>
    <row r="2" spans="3:26" x14ac:dyDescent="0.3">
      <c r="D2" s="410" t="s">
        <v>345</v>
      </c>
      <c r="E2" s="410"/>
      <c r="F2" s="410"/>
      <c r="G2" s="410"/>
      <c r="H2" s="410"/>
      <c r="I2" s="410"/>
      <c r="J2" s="410"/>
      <c r="K2" s="410"/>
      <c r="L2" s="410"/>
      <c r="M2" s="410"/>
      <c r="N2" s="50"/>
      <c r="Q2" s="410" t="s">
        <v>345</v>
      </c>
      <c r="R2" s="410"/>
      <c r="S2" s="410"/>
      <c r="T2" s="410"/>
      <c r="U2" s="410"/>
      <c r="V2" s="410"/>
      <c r="W2" s="410"/>
      <c r="X2" s="410"/>
      <c r="Y2" s="410"/>
      <c r="Z2" s="410"/>
    </row>
    <row r="3" spans="3:26" ht="16.2" thickBot="1" x14ac:dyDescent="0.35">
      <c r="D3" s="411" t="s">
        <v>53</v>
      </c>
      <c r="E3" s="411"/>
      <c r="F3" s="411"/>
      <c r="G3" s="411"/>
      <c r="H3" s="411"/>
      <c r="I3" s="411"/>
      <c r="J3" s="411"/>
      <c r="K3" s="411"/>
      <c r="L3" s="411"/>
      <c r="M3" s="411"/>
      <c r="N3" s="50"/>
      <c r="Q3" s="411" t="s">
        <v>54</v>
      </c>
      <c r="R3" s="411"/>
      <c r="S3" s="411"/>
      <c r="T3" s="411"/>
      <c r="U3" s="411"/>
      <c r="V3" s="411"/>
      <c r="W3" s="411"/>
      <c r="X3" s="411"/>
      <c r="Y3" s="411"/>
      <c r="Z3" s="411"/>
    </row>
    <row r="4" spans="3:26" x14ac:dyDescent="0.3">
      <c r="D4" s="2"/>
      <c r="E4" s="2"/>
      <c r="F4" s="2"/>
      <c r="G4" s="2"/>
      <c r="H4" s="2"/>
      <c r="I4" s="2"/>
      <c r="J4" s="2"/>
      <c r="K4" s="2"/>
      <c r="L4" s="2"/>
      <c r="M4" s="2"/>
      <c r="N4" s="50"/>
      <c r="Q4" s="2"/>
      <c r="R4" s="2"/>
      <c r="S4" s="2"/>
      <c r="T4" s="2"/>
      <c r="U4" s="2"/>
      <c r="V4" s="2"/>
      <c r="W4" s="2"/>
      <c r="X4" s="2"/>
      <c r="Y4" s="2"/>
      <c r="Z4" s="2"/>
    </row>
    <row r="5" spans="3:26" x14ac:dyDescent="0.3">
      <c r="D5" s="2"/>
      <c r="E5" s="2"/>
      <c r="G5" s="56" t="s">
        <v>0</v>
      </c>
      <c r="H5" s="21" t="str">
        <f>IF(Summary!$E$5="","",Summary!$E$5)</f>
        <v/>
      </c>
      <c r="I5" s="86"/>
      <c r="J5" s="86"/>
      <c r="K5" s="86"/>
      <c r="L5" s="86"/>
      <c r="M5" s="2"/>
      <c r="N5" s="50"/>
      <c r="Q5" s="2"/>
      <c r="R5" s="2"/>
      <c r="T5" s="56" t="s">
        <v>0</v>
      </c>
      <c r="U5" s="21" t="str">
        <f>IF(Summary!$S$5="","",Summary!$S$5)</f>
        <v/>
      </c>
      <c r="V5" s="86"/>
      <c r="W5" s="86"/>
      <c r="X5" s="86"/>
      <c r="Y5" s="86"/>
      <c r="Z5" s="2"/>
    </row>
    <row r="6" spans="3:26" x14ac:dyDescent="0.3">
      <c r="G6" s="56" t="s">
        <v>1</v>
      </c>
      <c r="H6" s="515" t="str">
        <f>IF(Summary!E6="","",Summary!E6)</f>
        <v/>
      </c>
      <c r="I6" s="516"/>
      <c r="J6" s="516"/>
      <c r="K6" s="516"/>
      <c r="L6" s="517"/>
      <c r="N6" s="50"/>
      <c r="T6" s="56" t="s">
        <v>1</v>
      </c>
      <c r="U6" s="515" t="str">
        <f>IF(Summary!$S6="","",Summary!$S6)</f>
        <v/>
      </c>
      <c r="V6" s="516"/>
      <c r="W6" s="516"/>
      <c r="X6" s="516"/>
      <c r="Y6" s="517"/>
    </row>
    <row r="7" spans="3:26" x14ac:dyDescent="0.3">
      <c r="G7" s="56"/>
      <c r="H7" s="182"/>
      <c r="I7" s="182"/>
      <c r="J7" s="86"/>
      <c r="K7" s="86"/>
      <c r="L7" s="86"/>
      <c r="N7" s="50"/>
      <c r="T7" s="56"/>
      <c r="U7" s="182"/>
      <c r="V7" s="182"/>
      <c r="W7" s="86"/>
      <c r="X7" s="86"/>
      <c r="Y7" s="86"/>
    </row>
    <row r="8" spans="3:26" x14ac:dyDescent="0.3">
      <c r="G8" s="56" t="s">
        <v>48</v>
      </c>
      <c r="H8" s="518" t="str">
        <f>IF(Summary!E8="","",Summary!E8)</f>
        <v/>
      </c>
      <c r="I8" s="518"/>
      <c r="J8" s="86"/>
      <c r="K8" s="86"/>
      <c r="L8" s="86"/>
      <c r="N8" s="50"/>
      <c r="T8" s="56" t="s">
        <v>48</v>
      </c>
      <c r="U8" s="526" t="str">
        <f>IF(Summary!$S8="","",Summary!$S8)</f>
        <v/>
      </c>
      <c r="V8" s="527"/>
      <c r="W8" s="86"/>
      <c r="X8" s="86"/>
      <c r="Y8" s="86"/>
    </row>
    <row r="9" spans="3:26" x14ac:dyDescent="0.3">
      <c r="G9" s="56"/>
      <c r="H9" s="84"/>
      <c r="I9" s="84"/>
      <c r="J9" s="86"/>
      <c r="K9" s="86"/>
      <c r="L9" s="86"/>
      <c r="N9" s="50"/>
      <c r="T9" s="56"/>
      <c r="U9" s="84"/>
      <c r="V9" s="84"/>
      <c r="W9" s="86"/>
      <c r="X9" s="86"/>
      <c r="Y9" s="86"/>
    </row>
    <row r="10" spans="3:26" x14ac:dyDescent="0.3">
      <c r="G10" s="56" t="s">
        <v>45</v>
      </c>
      <c r="H10" s="23">
        <f>IF(D14&lt;&gt;"",0,SUM(D17:D18))</f>
        <v>0</v>
      </c>
      <c r="I10" s="84"/>
      <c r="J10" s="86"/>
      <c r="K10" s="86"/>
      <c r="L10" s="86"/>
      <c r="N10" s="50"/>
      <c r="T10" s="56" t="s">
        <v>46</v>
      </c>
      <c r="U10" s="23">
        <f>IF(Q14&lt;&gt;"",0,SUM(Q17:Q18))</f>
        <v>0</v>
      </c>
      <c r="V10" s="84"/>
      <c r="W10" s="86"/>
      <c r="X10" s="86"/>
      <c r="Y10" s="86"/>
    </row>
    <row r="11" spans="3:26" ht="16.2" thickBot="1" x14ac:dyDescent="0.35">
      <c r="D11" s="3"/>
      <c r="E11" s="3"/>
      <c r="F11" s="3"/>
      <c r="G11" s="3"/>
      <c r="H11" s="3"/>
      <c r="I11" s="3"/>
      <c r="J11" s="3"/>
      <c r="K11" s="3"/>
      <c r="L11" s="3"/>
      <c r="M11" s="3"/>
      <c r="N11" s="50"/>
      <c r="Q11" s="3"/>
      <c r="R11" s="3"/>
      <c r="S11" s="3"/>
      <c r="T11" s="3"/>
      <c r="U11" s="3"/>
      <c r="V11" s="3"/>
      <c r="W11" s="3"/>
      <c r="X11" s="3"/>
      <c r="Y11" s="3"/>
      <c r="Z11" s="3"/>
    </row>
    <row r="12" spans="3:26" x14ac:dyDescent="0.3">
      <c r="N12" s="50"/>
    </row>
    <row r="13" spans="3:26" ht="96.75" customHeight="1" x14ac:dyDescent="0.3">
      <c r="D13" s="434" t="s">
        <v>651</v>
      </c>
      <c r="E13" s="539"/>
      <c r="F13" s="539"/>
      <c r="G13" s="539"/>
      <c r="H13" s="539"/>
      <c r="I13" s="539"/>
      <c r="J13" s="539"/>
      <c r="K13" s="539"/>
      <c r="L13" s="539"/>
      <c r="M13" s="539"/>
      <c r="N13" s="50"/>
      <c r="Q13" s="434" t="s">
        <v>651</v>
      </c>
      <c r="R13" s="539"/>
      <c r="S13" s="539"/>
      <c r="T13" s="539"/>
      <c r="U13" s="539"/>
      <c r="V13" s="539"/>
      <c r="W13" s="539"/>
      <c r="X13" s="539"/>
      <c r="Y13" s="539"/>
      <c r="Z13" s="539"/>
    </row>
    <row r="14" spans="3:26" ht="35.25" customHeight="1" x14ac:dyDescent="0.3">
      <c r="D14" s="542" t="str">
        <f>IF(AND(E17="X",E18="X"),"ERROR: SELECT ONLY ONE NO ADDITIONAL AUTHORITY RESOURCE REQUESTS SCORING OPTION","")</f>
        <v/>
      </c>
      <c r="E14" s="542"/>
      <c r="F14" s="542"/>
      <c r="G14" s="542"/>
      <c r="H14" s="542"/>
      <c r="I14" s="542"/>
      <c r="J14" s="542"/>
      <c r="K14" s="542"/>
      <c r="L14" s="542"/>
      <c r="M14" s="542"/>
      <c r="N14" s="50"/>
      <c r="P14" s="28" t="s">
        <v>3</v>
      </c>
      <c r="Q14" s="542" t="str">
        <f>IF(AND(R17="X",R18="X"),"ERROR: SELECT ONLY ONE NO ADDITIONAL AUTHORITY RESOURCE REQUESTS SCORING OPTION","")</f>
        <v/>
      </c>
      <c r="R14" s="542"/>
      <c r="S14" s="542"/>
      <c r="T14" s="542"/>
      <c r="U14" s="542"/>
      <c r="V14" s="542"/>
      <c r="W14" s="542"/>
      <c r="X14" s="542"/>
      <c r="Y14" s="542"/>
      <c r="Z14" s="542"/>
    </row>
    <row r="15" spans="3:26" ht="16.2" thickBot="1" x14ac:dyDescent="0.35">
      <c r="D15" s="407" t="s">
        <v>182</v>
      </c>
      <c r="E15" s="407"/>
      <c r="F15" s="407"/>
      <c r="G15" s="407"/>
      <c r="H15" s="407"/>
      <c r="I15" s="407"/>
      <c r="J15" s="407"/>
      <c r="K15" s="407"/>
      <c r="L15" s="407"/>
      <c r="M15" s="407"/>
      <c r="N15" s="50"/>
      <c r="Q15" s="407" t="s">
        <v>182</v>
      </c>
      <c r="R15" s="407"/>
      <c r="S15" s="407"/>
      <c r="T15" s="407"/>
      <c r="U15" s="407"/>
      <c r="V15" s="407"/>
      <c r="W15" s="407"/>
      <c r="X15" s="407"/>
      <c r="Y15" s="407"/>
      <c r="Z15" s="407"/>
    </row>
    <row r="16" spans="3:26" x14ac:dyDescent="0.3">
      <c r="C16" s="157" t="s">
        <v>52</v>
      </c>
      <c r="P16" s="157" t="s">
        <v>52</v>
      </c>
    </row>
    <row r="17" spans="3:26" ht="38.25" customHeight="1" x14ac:dyDescent="0.3">
      <c r="C17" s="28">
        <v>2</v>
      </c>
      <c r="D17" s="167" t="str">
        <f>IF(E17="X",C17,"")</f>
        <v/>
      </c>
      <c r="E17" s="27"/>
      <c r="F17" s="447" t="s">
        <v>181</v>
      </c>
      <c r="G17" s="448"/>
      <c r="H17" s="448"/>
      <c r="I17" s="448"/>
      <c r="J17" s="448"/>
      <c r="K17" s="448"/>
      <c r="L17" s="448"/>
      <c r="M17" s="448"/>
      <c r="P17" s="28">
        <v>2</v>
      </c>
      <c r="Q17" s="167" t="str">
        <f>IF(R17="X",P17,"")</f>
        <v/>
      </c>
      <c r="R17" s="77"/>
      <c r="S17" s="447" t="s">
        <v>181</v>
      </c>
      <c r="T17" s="448"/>
      <c r="U17" s="448"/>
      <c r="V17" s="448"/>
      <c r="W17" s="448"/>
      <c r="X17" s="448"/>
      <c r="Y17" s="448"/>
      <c r="Z17" s="448"/>
    </row>
    <row r="18" spans="3:26" ht="38.25" customHeight="1" x14ac:dyDescent="0.3">
      <c r="C18" s="28">
        <v>1</v>
      </c>
      <c r="D18" s="167" t="str">
        <f>IF(E18="X",C18,"")</f>
        <v/>
      </c>
      <c r="E18" s="27"/>
      <c r="F18" s="447" t="s">
        <v>652</v>
      </c>
      <c r="G18" s="448"/>
      <c r="H18" s="448"/>
      <c r="I18" s="448"/>
      <c r="J18" s="448"/>
      <c r="K18" s="448"/>
      <c r="L18" s="448"/>
      <c r="M18" s="448"/>
      <c r="P18" s="28">
        <v>1</v>
      </c>
      <c r="Q18" s="167" t="str">
        <f>IF(R18="X",P18,"")</f>
        <v/>
      </c>
      <c r="R18" s="77"/>
      <c r="S18" s="447" t="s">
        <v>652</v>
      </c>
      <c r="T18" s="448"/>
      <c r="U18" s="448"/>
      <c r="V18" s="448"/>
      <c r="W18" s="448"/>
      <c r="X18" s="448"/>
      <c r="Y18" s="448"/>
      <c r="Z18" s="448"/>
    </row>
    <row r="21" spans="3:26" x14ac:dyDescent="0.3">
      <c r="E21" s="165"/>
    </row>
  </sheetData>
  <sheetProtection algorithmName="SHA-512" hashValue="X2yNEysB5CIqRo2A7pD6jvgya0GcjDgqk3/W+nFod6tq5Yn4gwzvPg8hhWvjcBerAfmDB1Xx7eg4CUjkuRoS1w==" saltValue="56wMyMwJFWo3gJNyeNQPvw==" spinCount="100000" sheet="1" objects="1" scenarios="1" selectLockedCells="1"/>
  <mergeCells count="18">
    <mergeCell ref="H8:I8"/>
    <mergeCell ref="U8:V8"/>
    <mergeCell ref="D2:M2"/>
    <mergeCell ref="Q2:Z2"/>
    <mergeCell ref="D3:M3"/>
    <mergeCell ref="Q3:Z3"/>
    <mergeCell ref="H6:L6"/>
    <mergeCell ref="U6:Y6"/>
    <mergeCell ref="D13:M13"/>
    <mergeCell ref="Q13:Z13"/>
    <mergeCell ref="D15:M15"/>
    <mergeCell ref="S17:Z17"/>
    <mergeCell ref="S18:Z18"/>
    <mergeCell ref="Q15:Z15"/>
    <mergeCell ref="D14:M14"/>
    <mergeCell ref="Q14:Z14"/>
    <mergeCell ref="F17:M17"/>
    <mergeCell ref="F18:M18"/>
  </mergeCells>
  <dataValidations count="1">
    <dataValidation type="list" allowBlank="1" showInputMessage="1" showErrorMessage="1" sqref="R17:R18 E17:E18" xr:uid="{26A5EF0D-3B82-48EC-8FE7-2A2D5744873F}">
      <formula1>$P$13:$P$14</formula1>
    </dataValidation>
  </dataValidations>
  <pageMargins left="0.7" right="0.7" top="0.75" bottom="0.75" header="0.3" footer="0.3"/>
  <pageSetup scale="71" orientation="portrait" r:id="rId1"/>
  <headerFooter>
    <oddFooter>&amp;CTab: &amp;A&amp;RPrint Date: &amp;D</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8"/>
  <dimension ref="B1:Z56"/>
  <sheetViews>
    <sheetView showGridLines="0" view="pageBreakPreview" zoomScaleNormal="100" zoomScaleSheetLayoutView="100" workbookViewId="0">
      <selection activeCell="J26" sqref="J26"/>
    </sheetView>
  </sheetViews>
  <sheetFormatPr defaultColWidth="9.109375" defaultRowHeight="15.6" x14ac:dyDescent="0.3"/>
  <cols>
    <col min="1" max="1" width="3.5546875" style="1" customWidth="1"/>
    <col min="2" max="3" width="9.109375" style="28" hidden="1" customWidth="1"/>
    <col min="4" max="5" width="5.88671875" style="1" customWidth="1"/>
    <col min="6" max="8" width="12.44140625" style="1" customWidth="1"/>
    <col min="9" max="9" width="14.44140625" style="1" customWidth="1"/>
    <col min="10" max="12" width="12.44140625" style="1" customWidth="1"/>
    <col min="13" max="13" width="12.6640625" style="1" customWidth="1"/>
    <col min="14" max="14" width="3.5546875" style="1" customWidth="1"/>
    <col min="15" max="16" width="7.6640625" style="28" hidden="1" customWidth="1"/>
    <col min="17" max="18" width="6" style="1" customWidth="1"/>
    <col min="19" max="25" width="12.44140625" style="1" customWidth="1"/>
    <col min="26" max="26" width="12.6640625" style="1" customWidth="1"/>
    <col min="27" max="16384" width="9.109375" style="1"/>
  </cols>
  <sheetData>
    <row r="1" spans="2:26" x14ac:dyDescent="0.3">
      <c r="N1" s="50"/>
    </row>
    <row r="2" spans="2:26" x14ac:dyDescent="0.3">
      <c r="D2" s="410" t="s">
        <v>346</v>
      </c>
      <c r="E2" s="410"/>
      <c r="F2" s="410"/>
      <c r="G2" s="410"/>
      <c r="H2" s="410"/>
      <c r="I2" s="410"/>
      <c r="J2" s="410"/>
      <c r="K2" s="410"/>
      <c r="L2" s="410"/>
      <c r="M2" s="410"/>
      <c r="N2" s="50"/>
      <c r="Q2" s="410" t="s">
        <v>346</v>
      </c>
      <c r="R2" s="410"/>
      <c r="S2" s="410"/>
      <c r="T2" s="410"/>
      <c r="U2" s="410"/>
      <c r="V2" s="410"/>
      <c r="W2" s="410"/>
      <c r="X2" s="410"/>
      <c r="Y2" s="410"/>
      <c r="Z2" s="410"/>
    </row>
    <row r="3" spans="2:26" ht="16.2" thickBot="1" x14ac:dyDescent="0.35">
      <c r="D3" s="411" t="s">
        <v>53</v>
      </c>
      <c r="E3" s="411"/>
      <c r="F3" s="411"/>
      <c r="G3" s="411"/>
      <c r="H3" s="411"/>
      <c r="I3" s="411"/>
      <c r="J3" s="411"/>
      <c r="K3" s="411"/>
      <c r="L3" s="411"/>
      <c r="M3" s="411"/>
      <c r="N3" s="50"/>
      <c r="Q3" s="411" t="s">
        <v>54</v>
      </c>
      <c r="R3" s="411"/>
      <c r="S3" s="411"/>
      <c r="T3" s="411"/>
      <c r="U3" s="411"/>
      <c r="V3" s="411"/>
      <c r="W3" s="411"/>
      <c r="X3" s="411"/>
      <c r="Y3" s="411"/>
      <c r="Z3" s="411"/>
    </row>
    <row r="4" spans="2:26" x14ac:dyDescent="0.3">
      <c r="D4" s="2"/>
      <c r="E4" s="2"/>
      <c r="F4" s="2"/>
      <c r="G4" s="2"/>
      <c r="H4" s="2"/>
      <c r="I4" s="2"/>
      <c r="J4" s="2"/>
      <c r="K4" s="2"/>
      <c r="L4" s="2"/>
      <c r="M4" s="2"/>
      <c r="N4" s="50"/>
      <c r="Q4" s="2"/>
      <c r="R4" s="2"/>
      <c r="S4" s="2"/>
      <c r="T4" s="2"/>
      <c r="U4" s="2"/>
      <c r="V4" s="2"/>
      <c r="W4" s="2"/>
      <c r="X4" s="2"/>
      <c r="Y4" s="2"/>
      <c r="Z4" s="2"/>
    </row>
    <row r="5" spans="2:26" x14ac:dyDescent="0.3">
      <c r="D5" s="2"/>
      <c r="E5" s="2"/>
      <c r="G5" s="56" t="s">
        <v>0</v>
      </c>
      <c r="H5" s="21" t="str">
        <f>IF(Summary!$E$5="","",Summary!$E$5)</f>
        <v/>
      </c>
      <c r="I5" s="86"/>
      <c r="J5" s="86"/>
      <c r="K5" s="86"/>
      <c r="L5" s="86"/>
      <c r="M5" s="2"/>
      <c r="N5" s="50"/>
      <c r="Q5" s="2"/>
      <c r="R5" s="2"/>
      <c r="T5" s="56" t="s">
        <v>0</v>
      </c>
      <c r="U5" s="21" t="str">
        <f>IF(Summary!$S$5="","",Summary!$S$5)</f>
        <v/>
      </c>
      <c r="V5" s="86"/>
      <c r="W5" s="86"/>
      <c r="X5" s="86"/>
      <c r="Y5" s="86"/>
      <c r="Z5" s="2"/>
    </row>
    <row r="6" spans="2:26" x14ac:dyDescent="0.3">
      <c r="G6" s="56" t="s">
        <v>1</v>
      </c>
      <c r="H6" s="515" t="str">
        <f>IF(Summary!E6="","",Summary!E6)</f>
        <v/>
      </c>
      <c r="I6" s="516"/>
      <c r="J6" s="516"/>
      <c r="K6" s="516"/>
      <c r="L6" s="517"/>
      <c r="N6" s="50"/>
      <c r="T6" s="56" t="s">
        <v>1</v>
      </c>
      <c r="U6" s="515" t="str">
        <f>IF(Summary!$S6="","",Summary!$S6)</f>
        <v/>
      </c>
      <c r="V6" s="516"/>
      <c r="W6" s="516"/>
      <c r="X6" s="516"/>
      <c r="Y6" s="517"/>
    </row>
    <row r="7" spans="2:26" x14ac:dyDescent="0.3">
      <c r="G7" s="56"/>
      <c r="H7" s="182"/>
      <c r="I7" s="182"/>
      <c r="J7" s="86"/>
      <c r="K7" s="86"/>
      <c r="L7" s="86"/>
      <c r="N7" s="50"/>
      <c r="T7" s="56"/>
      <c r="U7" s="182"/>
      <c r="V7" s="182"/>
      <c r="W7" s="86"/>
      <c r="X7" s="86"/>
      <c r="Y7" s="86"/>
    </row>
    <row r="8" spans="2:26" x14ac:dyDescent="0.3">
      <c r="G8" s="56" t="s">
        <v>48</v>
      </c>
      <c r="H8" s="518" t="str">
        <f>IF(Summary!E8="","",Summary!E8)</f>
        <v/>
      </c>
      <c r="I8" s="518"/>
      <c r="J8" s="86"/>
      <c r="K8" s="86"/>
      <c r="L8" s="86"/>
      <c r="N8" s="50"/>
      <c r="T8" s="56" t="s">
        <v>48</v>
      </c>
      <c r="U8" s="526" t="str">
        <f>IF(Summary!$S8="","",Summary!$S8)</f>
        <v/>
      </c>
      <c r="V8" s="527"/>
      <c r="W8" s="86"/>
      <c r="X8" s="86"/>
      <c r="Y8" s="86"/>
    </row>
    <row r="9" spans="2:26" x14ac:dyDescent="0.3">
      <c r="G9" s="56"/>
      <c r="H9" s="84"/>
      <c r="I9" s="84"/>
      <c r="J9" s="86"/>
      <c r="K9" s="86"/>
      <c r="L9" s="86"/>
      <c r="N9" s="50"/>
      <c r="O9" s="28" t="s">
        <v>114</v>
      </c>
      <c r="T9" s="56"/>
      <c r="U9" s="84"/>
      <c r="V9" s="84"/>
      <c r="W9" s="86"/>
      <c r="X9" s="86"/>
      <c r="Y9" s="86"/>
    </row>
    <row r="10" spans="2:26" x14ac:dyDescent="0.3">
      <c r="G10" s="56" t="s">
        <v>45</v>
      </c>
      <c r="H10" s="23">
        <f>SUM(D43:D47)</f>
        <v>0</v>
      </c>
      <c r="I10" s="84"/>
      <c r="J10" s="86"/>
      <c r="K10" s="86"/>
      <c r="L10" s="86"/>
      <c r="N10" s="50"/>
      <c r="O10" s="28" t="s">
        <v>113</v>
      </c>
      <c r="T10" s="56" t="s">
        <v>46</v>
      </c>
      <c r="U10" s="23">
        <f>SUM(Q43:Q47)</f>
        <v>0</v>
      </c>
      <c r="V10" s="84"/>
      <c r="W10" s="86"/>
      <c r="X10" s="86"/>
      <c r="Y10" s="86"/>
    </row>
    <row r="11" spans="2:26" ht="16.2" thickBot="1" x14ac:dyDescent="0.35">
      <c r="D11" s="3"/>
      <c r="E11" s="3"/>
      <c r="F11" s="3"/>
      <c r="G11" s="3"/>
      <c r="H11" s="3"/>
      <c r="I11" s="3"/>
      <c r="J11" s="3"/>
      <c r="K11" s="3"/>
      <c r="L11" s="3"/>
      <c r="M11" s="3"/>
      <c r="N11" s="50"/>
      <c r="Q11" s="3"/>
      <c r="R11" s="3"/>
      <c r="S11" s="3"/>
      <c r="T11" s="3"/>
      <c r="U11" s="3"/>
      <c r="V11" s="3"/>
      <c r="W11" s="3"/>
      <c r="X11" s="3"/>
      <c r="Y11" s="3"/>
      <c r="Z11" s="3"/>
    </row>
    <row r="12" spans="2:26" x14ac:dyDescent="0.3">
      <c r="N12" s="50"/>
    </row>
    <row r="13" spans="2:26" s="214" customFormat="1" ht="142.5" customHeight="1" x14ac:dyDescent="0.3">
      <c r="B13" s="238"/>
      <c r="C13" s="238"/>
      <c r="D13" s="434" t="s">
        <v>665</v>
      </c>
      <c r="E13" s="434"/>
      <c r="F13" s="434"/>
      <c r="G13" s="434"/>
      <c r="H13" s="434"/>
      <c r="I13" s="434"/>
      <c r="J13" s="434"/>
      <c r="K13" s="434"/>
      <c r="L13" s="434"/>
      <c r="M13" s="434"/>
      <c r="N13" s="239"/>
      <c r="O13" s="238"/>
      <c r="P13" s="238"/>
      <c r="Q13" s="434" t="s">
        <v>665</v>
      </c>
      <c r="R13" s="434"/>
      <c r="S13" s="434"/>
      <c r="T13" s="434"/>
      <c r="U13" s="434"/>
      <c r="V13" s="434"/>
      <c r="W13" s="434"/>
      <c r="X13" s="434"/>
      <c r="Y13" s="434"/>
      <c r="Z13" s="434"/>
    </row>
    <row r="14" spans="2:26" x14ac:dyDescent="0.3">
      <c r="D14" s="443"/>
      <c r="E14" s="443"/>
      <c r="F14" s="443"/>
      <c r="G14" s="443"/>
      <c r="H14" s="443"/>
      <c r="I14" s="443"/>
      <c r="J14" s="443"/>
      <c r="K14" s="443"/>
      <c r="L14" s="443"/>
      <c r="M14" s="443"/>
      <c r="N14" s="50"/>
      <c r="Q14" s="443"/>
      <c r="R14" s="443"/>
      <c r="S14" s="443"/>
      <c r="T14" s="443"/>
      <c r="U14" s="443"/>
      <c r="V14" s="443"/>
      <c r="W14" s="443"/>
      <c r="X14" s="443"/>
      <c r="Y14" s="443"/>
      <c r="Z14" s="443"/>
    </row>
    <row r="15" spans="2:26" x14ac:dyDescent="0.3">
      <c r="D15" s="86" t="s">
        <v>194</v>
      </c>
      <c r="E15" s="183"/>
      <c r="F15" s="183"/>
      <c r="G15" s="183"/>
      <c r="H15" s="183"/>
      <c r="I15" s="183"/>
      <c r="J15" s="183"/>
      <c r="K15" s="183"/>
      <c r="L15" s="183"/>
      <c r="M15" s="183"/>
      <c r="N15" s="50"/>
      <c r="Q15" s="86" t="s">
        <v>194</v>
      </c>
      <c r="R15" s="183"/>
      <c r="S15" s="183"/>
      <c r="T15" s="183"/>
      <c r="U15" s="183"/>
      <c r="V15" s="183"/>
      <c r="W15" s="183"/>
      <c r="X15" s="183"/>
      <c r="Y15" s="183"/>
      <c r="Z15" s="183"/>
    </row>
    <row r="16" spans="2:26" x14ac:dyDescent="0.3">
      <c r="D16" s="183"/>
      <c r="E16" s="183"/>
      <c r="F16" s="183"/>
      <c r="G16" s="183"/>
      <c r="H16" s="183"/>
      <c r="I16" s="183"/>
      <c r="J16" s="183"/>
      <c r="K16" s="183"/>
      <c r="L16" s="183"/>
      <c r="M16" s="183"/>
      <c r="N16" s="50"/>
      <c r="Q16" s="183"/>
      <c r="R16" s="183"/>
      <c r="S16" s="183"/>
      <c r="T16" s="183"/>
      <c r="U16" s="183"/>
      <c r="V16" s="183"/>
      <c r="W16" s="183"/>
      <c r="X16" s="183"/>
      <c r="Y16" s="183"/>
      <c r="Z16" s="183"/>
    </row>
    <row r="17" spans="4:26" x14ac:dyDescent="0.3">
      <c r="D17" s="183"/>
      <c r="E17" s="183"/>
      <c r="F17" s="480" t="s">
        <v>184</v>
      </c>
      <c r="G17" s="480"/>
      <c r="H17" s="480"/>
      <c r="I17" s="183"/>
      <c r="J17" s="480" t="s">
        <v>185</v>
      </c>
      <c r="K17" s="480"/>
      <c r="L17" s="480"/>
      <c r="M17" s="183"/>
      <c r="N17" s="50"/>
      <c r="Q17" s="183"/>
      <c r="R17" s="183"/>
      <c r="S17" s="480" t="s">
        <v>184</v>
      </c>
      <c r="T17" s="480"/>
      <c r="U17" s="480"/>
      <c r="V17" s="183"/>
      <c r="W17" s="480" t="s">
        <v>185</v>
      </c>
      <c r="X17" s="480"/>
      <c r="Y17" s="480"/>
      <c r="Z17" s="183"/>
    </row>
    <row r="18" spans="4:26" ht="51.75" customHeight="1" x14ac:dyDescent="0.3">
      <c r="D18" s="183"/>
      <c r="E18" s="183"/>
      <c r="F18" s="661" t="s">
        <v>186</v>
      </c>
      <c r="G18" s="661"/>
      <c r="H18" s="661"/>
      <c r="I18" s="183"/>
      <c r="J18" s="661" t="s">
        <v>190</v>
      </c>
      <c r="K18" s="661"/>
      <c r="L18" s="661"/>
      <c r="M18" s="183"/>
      <c r="N18" s="50"/>
      <c r="Q18" s="183"/>
      <c r="R18" s="183"/>
      <c r="S18" s="661" t="s">
        <v>186</v>
      </c>
      <c r="T18" s="661"/>
      <c r="U18" s="661"/>
      <c r="V18" s="183"/>
      <c r="W18" s="661" t="s">
        <v>190</v>
      </c>
      <c r="X18" s="661"/>
      <c r="Y18" s="661"/>
      <c r="Z18" s="183"/>
    </row>
    <row r="19" spans="4:26" ht="51.75" customHeight="1" x14ac:dyDescent="0.3">
      <c r="D19" s="183"/>
      <c r="E19" s="183"/>
      <c r="F19" s="661" t="s">
        <v>187</v>
      </c>
      <c r="G19" s="661"/>
      <c r="H19" s="661"/>
      <c r="I19" s="183"/>
      <c r="J19" s="661" t="s">
        <v>653</v>
      </c>
      <c r="K19" s="661"/>
      <c r="L19" s="661"/>
      <c r="M19" s="183"/>
      <c r="N19" s="50"/>
      <c r="Q19" s="183"/>
      <c r="R19" s="183"/>
      <c r="S19" s="661" t="s">
        <v>187</v>
      </c>
      <c r="T19" s="661"/>
      <c r="U19" s="661"/>
      <c r="V19" s="183"/>
      <c r="W19" s="661" t="s">
        <v>653</v>
      </c>
      <c r="X19" s="661"/>
      <c r="Y19" s="661"/>
      <c r="Z19" s="183"/>
    </row>
    <row r="20" spans="4:26" ht="39" customHeight="1" x14ac:dyDescent="0.3">
      <c r="D20" s="183"/>
      <c r="E20" s="183"/>
      <c r="F20" s="661" t="s">
        <v>188</v>
      </c>
      <c r="G20" s="661"/>
      <c r="H20" s="661"/>
      <c r="I20" s="183"/>
      <c r="J20" s="661" t="s">
        <v>191</v>
      </c>
      <c r="K20" s="661"/>
      <c r="L20" s="661"/>
      <c r="M20" s="183"/>
      <c r="N20" s="50"/>
      <c r="Q20" s="183"/>
      <c r="R20" s="183"/>
      <c r="S20" s="661" t="s">
        <v>188</v>
      </c>
      <c r="T20" s="661"/>
      <c r="U20" s="661"/>
      <c r="V20" s="183"/>
      <c r="W20" s="661" t="s">
        <v>191</v>
      </c>
      <c r="X20" s="661"/>
      <c r="Y20" s="661"/>
      <c r="Z20" s="183"/>
    </row>
    <row r="21" spans="4:26" ht="39.75" customHeight="1" x14ac:dyDescent="0.3">
      <c r="D21" s="183"/>
      <c r="E21" s="183"/>
      <c r="F21" s="661" t="s">
        <v>654</v>
      </c>
      <c r="G21" s="661"/>
      <c r="H21" s="661"/>
      <c r="I21" s="183"/>
      <c r="J21" s="661" t="s">
        <v>192</v>
      </c>
      <c r="K21" s="661"/>
      <c r="L21" s="661"/>
      <c r="M21" s="183"/>
      <c r="N21" s="50"/>
      <c r="Q21" s="183"/>
      <c r="R21" s="183"/>
      <c r="S21" s="661" t="s">
        <v>654</v>
      </c>
      <c r="T21" s="661"/>
      <c r="U21" s="661"/>
      <c r="V21" s="183"/>
      <c r="W21" s="661" t="s">
        <v>192</v>
      </c>
      <c r="X21" s="661"/>
      <c r="Y21" s="661"/>
      <c r="Z21" s="183"/>
    </row>
    <row r="22" spans="4:26" ht="41.25" customHeight="1" x14ac:dyDescent="0.3">
      <c r="D22" s="183"/>
      <c r="E22" s="183"/>
      <c r="F22" s="661" t="s">
        <v>189</v>
      </c>
      <c r="G22" s="661"/>
      <c r="H22" s="661"/>
      <c r="I22" s="183"/>
      <c r="J22" s="661" t="s">
        <v>193</v>
      </c>
      <c r="K22" s="661"/>
      <c r="L22" s="661"/>
      <c r="M22" s="183"/>
      <c r="N22" s="50"/>
      <c r="Q22" s="183"/>
      <c r="R22" s="183"/>
      <c r="S22" s="661" t="s">
        <v>189</v>
      </c>
      <c r="T22" s="661"/>
      <c r="U22" s="661"/>
      <c r="V22" s="183"/>
      <c r="W22" s="661" t="s">
        <v>193</v>
      </c>
      <c r="X22" s="661"/>
      <c r="Y22" s="661"/>
      <c r="Z22" s="183"/>
    </row>
    <row r="23" spans="4:26" x14ac:dyDescent="0.3">
      <c r="D23" s="183"/>
      <c r="E23" s="183"/>
      <c r="F23" s="183"/>
      <c r="G23" s="183"/>
      <c r="H23" s="183"/>
      <c r="I23" s="183"/>
      <c r="J23" s="183"/>
      <c r="K23" s="183"/>
      <c r="L23" s="183"/>
      <c r="M23" s="183"/>
      <c r="N23" s="50"/>
      <c r="Q23" s="183"/>
      <c r="R23" s="183"/>
      <c r="S23" s="183"/>
      <c r="T23" s="183"/>
      <c r="U23" s="183"/>
      <c r="V23" s="183"/>
      <c r="W23" s="183"/>
      <c r="X23" s="183"/>
      <c r="Y23" s="183"/>
      <c r="Z23" s="183"/>
    </row>
    <row r="24" spans="4:26" ht="16.5" customHeight="1" thickBot="1" x14ac:dyDescent="0.35">
      <c r="D24" s="606" t="s">
        <v>183</v>
      </c>
      <c r="E24" s="606"/>
      <c r="F24" s="606"/>
      <c r="G24" s="606"/>
      <c r="H24" s="606"/>
      <c r="I24" s="606"/>
      <c r="J24" s="606"/>
      <c r="K24" s="606"/>
      <c r="L24" s="606"/>
      <c r="M24" s="606"/>
      <c r="N24" s="50"/>
      <c r="Q24" s="606" t="s">
        <v>183</v>
      </c>
      <c r="R24" s="606"/>
      <c r="S24" s="606"/>
      <c r="T24" s="606"/>
      <c r="U24" s="606"/>
      <c r="V24" s="606"/>
      <c r="W24" s="606"/>
      <c r="X24" s="606"/>
      <c r="Y24" s="606"/>
      <c r="Z24" s="606"/>
    </row>
    <row r="25" spans="4:26" x14ac:dyDescent="0.3">
      <c r="D25" s="86"/>
      <c r="E25" s="86"/>
      <c r="F25" s="86"/>
      <c r="G25" s="86"/>
      <c r="H25" s="86"/>
      <c r="I25" s="86"/>
      <c r="J25" s="86"/>
      <c r="K25" s="86"/>
      <c r="L25" s="86"/>
      <c r="M25" s="86"/>
      <c r="N25" s="50"/>
      <c r="Q25" s="86"/>
      <c r="R25" s="86"/>
      <c r="S25" s="86"/>
      <c r="T25" s="86"/>
      <c r="U25" s="86"/>
      <c r="V25" s="86"/>
      <c r="W25" s="86"/>
      <c r="X25" s="86"/>
      <c r="Y25" s="86"/>
      <c r="Z25" s="86"/>
    </row>
    <row r="26" spans="4:26" x14ac:dyDescent="0.3">
      <c r="D26" s="86"/>
      <c r="E26" s="86"/>
      <c r="G26" s="86"/>
      <c r="I26" s="168" t="s">
        <v>498</v>
      </c>
      <c r="J26" s="39"/>
      <c r="K26" s="86"/>
      <c r="L26" s="86"/>
      <c r="M26" s="86"/>
      <c r="N26" s="50"/>
      <c r="Q26" s="86"/>
      <c r="R26" s="86"/>
      <c r="T26" s="86"/>
      <c r="V26" s="168" t="s">
        <v>498</v>
      </c>
      <c r="W26" s="83"/>
      <c r="X26" s="86"/>
      <c r="Y26" s="86"/>
      <c r="Z26" s="86"/>
    </row>
    <row r="27" spans="4:26" x14ac:dyDescent="0.3">
      <c r="D27" s="86"/>
      <c r="E27" s="86"/>
      <c r="F27" s="86"/>
      <c r="G27" s="86"/>
      <c r="I27" s="86"/>
      <c r="J27" s="15"/>
      <c r="K27" s="86"/>
      <c r="L27" s="86"/>
      <c r="M27" s="86"/>
      <c r="N27" s="50"/>
      <c r="Q27" s="86"/>
      <c r="R27" s="86"/>
      <c r="S27" s="86"/>
      <c r="T27" s="86"/>
      <c r="V27" s="86"/>
      <c r="W27" s="15"/>
      <c r="X27" s="86"/>
      <c r="Y27" s="86"/>
      <c r="Z27" s="86"/>
    </row>
    <row r="28" spans="4:26" x14ac:dyDescent="0.3">
      <c r="D28" s="465" t="s">
        <v>37</v>
      </c>
      <c r="E28" s="468" t="s">
        <v>38</v>
      </c>
      <c r="F28" s="468"/>
      <c r="G28" s="468"/>
      <c r="H28" s="468"/>
      <c r="I28" s="468"/>
      <c r="J28" s="16" t="s">
        <v>39</v>
      </c>
      <c r="K28" s="16" t="s">
        <v>40</v>
      </c>
      <c r="L28" s="86"/>
      <c r="M28" s="86"/>
      <c r="N28" s="50"/>
      <c r="Q28" s="465" t="s">
        <v>37</v>
      </c>
      <c r="R28" s="468" t="s">
        <v>38</v>
      </c>
      <c r="S28" s="468"/>
      <c r="T28" s="468"/>
      <c r="U28" s="468"/>
      <c r="V28" s="468"/>
      <c r="W28" s="16" t="s">
        <v>39</v>
      </c>
      <c r="X28" s="16" t="s">
        <v>40</v>
      </c>
      <c r="Y28" s="86"/>
      <c r="Z28" s="86"/>
    </row>
    <row r="29" spans="4:26" x14ac:dyDescent="0.3">
      <c r="D29" s="466"/>
      <c r="E29" s="662"/>
      <c r="F29" s="662"/>
      <c r="G29" s="662"/>
      <c r="H29" s="662"/>
      <c r="I29" s="662"/>
      <c r="J29" s="39"/>
      <c r="K29" s="17">
        <f t="shared" ref="K29:K38" si="0">IF(J$26&gt;0,IF(J29&gt;0,J29/J$26,0%),0%)</f>
        <v>0</v>
      </c>
      <c r="L29" s="86"/>
      <c r="M29" s="86"/>
      <c r="N29" s="50"/>
      <c r="Q29" s="466"/>
      <c r="R29" s="663"/>
      <c r="S29" s="663"/>
      <c r="T29" s="663"/>
      <c r="U29" s="663"/>
      <c r="V29" s="663"/>
      <c r="W29" s="83"/>
      <c r="X29" s="17">
        <f t="shared" ref="X29:X38" si="1">IF(W$26&gt;0,IF(W29&gt;0,W29/W$26,0%),0%)</f>
        <v>0</v>
      </c>
      <c r="Y29" s="86"/>
      <c r="Z29" s="86"/>
    </row>
    <row r="30" spans="4:26" x14ac:dyDescent="0.3">
      <c r="D30" s="466"/>
      <c r="E30" s="662"/>
      <c r="F30" s="662"/>
      <c r="G30" s="662"/>
      <c r="H30" s="662"/>
      <c r="I30" s="662"/>
      <c r="J30" s="39"/>
      <c r="K30" s="17">
        <f t="shared" si="0"/>
        <v>0</v>
      </c>
      <c r="L30" s="86"/>
      <c r="M30" s="86"/>
      <c r="N30" s="50"/>
      <c r="Q30" s="466"/>
      <c r="R30" s="663"/>
      <c r="S30" s="663"/>
      <c r="T30" s="663"/>
      <c r="U30" s="663"/>
      <c r="V30" s="663"/>
      <c r="W30" s="83"/>
      <c r="X30" s="17">
        <f t="shared" si="1"/>
        <v>0</v>
      </c>
      <c r="Y30" s="86"/>
      <c r="Z30" s="86"/>
    </row>
    <row r="31" spans="4:26" x14ac:dyDescent="0.3">
      <c r="D31" s="466"/>
      <c r="E31" s="662"/>
      <c r="F31" s="662"/>
      <c r="G31" s="662"/>
      <c r="H31" s="662"/>
      <c r="I31" s="662"/>
      <c r="J31" s="39"/>
      <c r="K31" s="17">
        <f t="shared" si="0"/>
        <v>0</v>
      </c>
      <c r="L31" s="86"/>
      <c r="M31" s="86"/>
      <c r="N31" s="50"/>
      <c r="Q31" s="466"/>
      <c r="R31" s="663"/>
      <c r="S31" s="663"/>
      <c r="T31" s="663"/>
      <c r="U31" s="663"/>
      <c r="V31" s="663"/>
      <c r="W31" s="83"/>
      <c r="X31" s="17">
        <f t="shared" si="1"/>
        <v>0</v>
      </c>
      <c r="Y31" s="86"/>
      <c r="Z31" s="86"/>
    </row>
    <row r="32" spans="4:26" x14ac:dyDescent="0.3">
      <c r="D32" s="466"/>
      <c r="E32" s="662"/>
      <c r="F32" s="662"/>
      <c r="G32" s="662"/>
      <c r="H32" s="662"/>
      <c r="I32" s="662"/>
      <c r="J32" s="39"/>
      <c r="K32" s="17">
        <f t="shared" si="0"/>
        <v>0</v>
      </c>
      <c r="L32" s="86"/>
      <c r="M32" s="86"/>
      <c r="N32" s="50"/>
      <c r="Q32" s="466"/>
      <c r="R32" s="663"/>
      <c r="S32" s="663"/>
      <c r="T32" s="663"/>
      <c r="U32" s="663"/>
      <c r="V32" s="663"/>
      <c r="W32" s="83"/>
      <c r="X32" s="17">
        <f t="shared" si="1"/>
        <v>0</v>
      </c>
      <c r="Y32" s="86"/>
      <c r="Z32" s="86"/>
    </row>
    <row r="33" spans="3:26" x14ac:dyDescent="0.3">
      <c r="D33" s="466"/>
      <c r="E33" s="662"/>
      <c r="F33" s="662"/>
      <c r="G33" s="662"/>
      <c r="H33" s="662"/>
      <c r="I33" s="662"/>
      <c r="J33" s="39"/>
      <c r="K33" s="17">
        <f t="shared" si="0"/>
        <v>0</v>
      </c>
      <c r="L33" s="86"/>
      <c r="M33" s="86"/>
      <c r="N33" s="50"/>
      <c r="Q33" s="466"/>
      <c r="R33" s="663"/>
      <c r="S33" s="663"/>
      <c r="T33" s="663"/>
      <c r="U33" s="663"/>
      <c r="V33" s="663"/>
      <c r="W33" s="83"/>
      <c r="X33" s="17">
        <f t="shared" si="1"/>
        <v>0</v>
      </c>
      <c r="Y33" s="86"/>
      <c r="Z33" s="86"/>
    </row>
    <row r="34" spans="3:26" x14ac:dyDescent="0.3">
      <c r="D34" s="466"/>
      <c r="E34" s="662"/>
      <c r="F34" s="662"/>
      <c r="G34" s="662"/>
      <c r="H34" s="662"/>
      <c r="I34" s="662"/>
      <c r="J34" s="39"/>
      <c r="K34" s="17">
        <f t="shared" si="0"/>
        <v>0</v>
      </c>
      <c r="L34" s="86"/>
      <c r="M34" s="86"/>
      <c r="N34" s="50"/>
      <c r="Q34" s="466"/>
      <c r="R34" s="663"/>
      <c r="S34" s="663"/>
      <c r="T34" s="663"/>
      <c r="U34" s="663"/>
      <c r="V34" s="663"/>
      <c r="W34" s="83"/>
      <c r="X34" s="17">
        <f t="shared" si="1"/>
        <v>0</v>
      </c>
      <c r="Y34" s="86"/>
      <c r="Z34" s="86"/>
    </row>
    <row r="35" spans="3:26" x14ac:dyDescent="0.3">
      <c r="D35" s="466"/>
      <c r="E35" s="662"/>
      <c r="F35" s="662"/>
      <c r="G35" s="662"/>
      <c r="H35" s="662"/>
      <c r="I35" s="662"/>
      <c r="J35" s="39"/>
      <c r="K35" s="17">
        <f t="shared" si="0"/>
        <v>0</v>
      </c>
      <c r="L35" s="86"/>
      <c r="M35" s="86"/>
      <c r="N35" s="50"/>
      <c r="Q35" s="466"/>
      <c r="R35" s="663"/>
      <c r="S35" s="663"/>
      <c r="T35" s="663"/>
      <c r="U35" s="663"/>
      <c r="V35" s="663"/>
      <c r="W35" s="83"/>
      <c r="X35" s="17">
        <f t="shared" si="1"/>
        <v>0</v>
      </c>
      <c r="Y35" s="86"/>
      <c r="Z35" s="86"/>
    </row>
    <row r="36" spans="3:26" x14ac:dyDescent="0.3">
      <c r="D36" s="466"/>
      <c r="E36" s="662"/>
      <c r="F36" s="662"/>
      <c r="G36" s="662"/>
      <c r="H36" s="662"/>
      <c r="I36" s="662"/>
      <c r="J36" s="39"/>
      <c r="K36" s="17">
        <f t="shared" si="0"/>
        <v>0</v>
      </c>
      <c r="L36" s="86"/>
      <c r="M36" s="86"/>
      <c r="N36" s="50"/>
      <c r="Q36" s="466"/>
      <c r="R36" s="663"/>
      <c r="S36" s="663"/>
      <c r="T36" s="663"/>
      <c r="U36" s="663"/>
      <c r="V36" s="663"/>
      <c r="W36" s="83"/>
      <c r="X36" s="17">
        <f t="shared" si="1"/>
        <v>0</v>
      </c>
      <c r="Y36" s="86"/>
      <c r="Z36" s="86"/>
    </row>
    <row r="37" spans="3:26" x14ac:dyDescent="0.3">
      <c r="D37" s="466"/>
      <c r="E37" s="662"/>
      <c r="F37" s="662"/>
      <c r="G37" s="662"/>
      <c r="H37" s="662"/>
      <c r="I37" s="662"/>
      <c r="J37" s="39"/>
      <c r="K37" s="17">
        <f t="shared" si="0"/>
        <v>0</v>
      </c>
      <c r="L37" s="86"/>
      <c r="M37" s="86"/>
      <c r="N37" s="50"/>
      <c r="Q37" s="466"/>
      <c r="R37" s="663"/>
      <c r="S37" s="663"/>
      <c r="T37" s="663"/>
      <c r="U37" s="663"/>
      <c r="V37" s="663"/>
      <c r="W37" s="83"/>
      <c r="X37" s="17">
        <f t="shared" si="1"/>
        <v>0</v>
      </c>
      <c r="Y37" s="86"/>
      <c r="Z37" s="86"/>
    </row>
    <row r="38" spans="3:26" x14ac:dyDescent="0.3">
      <c r="D38" s="466"/>
      <c r="E38" s="662"/>
      <c r="F38" s="662"/>
      <c r="G38" s="662"/>
      <c r="H38" s="662"/>
      <c r="I38" s="662"/>
      <c r="J38" s="39"/>
      <c r="K38" s="17">
        <f t="shared" si="0"/>
        <v>0</v>
      </c>
      <c r="L38" s="86"/>
      <c r="M38" s="86"/>
      <c r="N38" s="50"/>
      <c r="Q38" s="466"/>
      <c r="R38" s="663"/>
      <c r="S38" s="663"/>
      <c r="T38" s="663"/>
      <c r="U38" s="663"/>
      <c r="V38" s="663"/>
      <c r="W38" s="83"/>
      <c r="X38" s="17">
        <f t="shared" si="1"/>
        <v>0</v>
      </c>
      <c r="Y38" s="86"/>
      <c r="Z38" s="86"/>
    </row>
    <row r="39" spans="3:26" x14ac:dyDescent="0.3">
      <c r="D39" s="467"/>
      <c r="E39" s="464" t="s">
        <v>41</v>
      </c>
      <c r="F39" s="464"/>
      <c r="G39" s="464"/>
      <c r="H39" s="464"/>
      <c r="I39" s="464"/>
      <c r="J39" s="16">
        <f>SUM(J29:J38)</f>
        <v>0</v>
      </c>
      <c r="K39" s="18">
        <f>SUM(K29:K38)</f>
        <v>0</v>
      </c>
      <c r="N39" s="50"/>
      <c r="Q39" s="467"/>
      <c r="R39" s="464" t="s">
        <v>41</v>
      </c>
      <c r="S39" s="464"/>
      <c r="T39" s="464"/>
      <c r="U39" s="464"/>
      <c r="V39" s="464"/>
      <c r="W39" s="16">
        <f>SUM(W29:W38)</f>
        <v>0</v>
      </c>
      <c r="X39" s="18">
        <f>SUM(X29:X38)</f>
        <v>0</v>
      </c>
    </row>
    <row r="40" spans="3:26" x14ac:dyDescent="0.3">
      <c r="N40" s="50"/>
    </row>
    <row r="41" spans="3:26" ht="16.2" thickBot="1" x14ac:dyDescent="0.35">
      <c r="C41" s="74" t="s">
        <v>52</v>
      </c>
      <c r="D41" s="407" t="s">
        <v>42</v>
      </c>
      <c r="E41" s="407"/>
      <c r="F41" s="407"/>
      <c r="G41" s="407"/>
      <c r="H41" s="407"/>
      <c r="I41" s="407"/>
      <c r="J41" s="407"/>
      <c r="K41" s="407"/>
      <c r="L41" s="407"/>
      <c r="M41" s="407"/>
      <c r="N41" s="50"/>
      <c r="P41" s="74" t="s">
        <v>52</v>
      </c>
      <c r="Q41" s="407" t="s">
        <v>42</v>
      </c>
      <c r="R41" s="407"/>
      <c r="S41" s="407"/>
      <c r="T41" s="407"/>
      <c r="U41" s="407"/>
      <c r="V41" s="407"/>
      <c r="W41" s="407"/>
      <c r="X41" s="407"/>
      <c r="Y41" s="407"/>
      <c r="Z41" s="407"/>
    </row>
    <row r="42" spans="3:26" x14ac:dyDescent="0.3">
      <c r="C42" s="74"/>
      <c r="D42" s="230"/>
      <c r="E42" s="230"/>
      <c r="F42" s="230"/>
      <c r="G42" s="230"/>
      <c r="H42" s="230"/>
      <c r="I42" s="230"/>
      <c r="J42" s="230"/>
      <c r="K42" s="230"/>
      <c r="L42" s="230"/>
      <c r="M42" s="230"/>
      <c r="N42" s="50"/>
      <c r="P42" s="74"/>
      <c r="Q42" s="230"/>
      <c r="R42" s="230"/>
      <c r="S42" s="230"/>
      <c r="T42" s="230"/>
      <c r="U42" s="230"/>
      <c r="V42" s="230"/>
      <c r="W42" s="230"/>
      <c r="X42" s="230"/>
      <c r="Y42" s="230"/>
      <c r="Z42" s="230"/>
    </row>
    <row r="43" spans="3:26" ht="16.5" customHeight="1" x14ac:dyDescent="0.3">
      <c r="C43" s="28">
        <v>1</v>
      </c>
      <c r="D43" s="167" t="str">
        <f>IF(E43="X",C43,"")</f>
        <v/>
      </c>
      <c r="E43" s="167" t="str">
        <f>IF(K$39&gt;=F43,IF(K$39&lt;F44,"X",""),"")</f>
        <v/>
      </c>
      <c r="F43" s="61">
        <v>0.05</v>
      </c>
      <c r="G43" s="59">
        <v>9.9900000000000003E-2</v>
      </c>
      <c r="H43" s="57"/>
      <c r="I43" s="57"/>
      <c r="J43" s="57"/>
      <c r="K43" s="57"/>
      <c r="L43" s="57"/>
      <c r="M43" s="58"/>
      <c r="N43" s="50"/>
      <c r="P43" s="28">
        <v>1</v>
      </c>
      <c r="Q43" s="167" t="str">
        <f>IF(R43="X",P43,"")</f>
        <v/>
      </c>
      <c r="R43" s="167" t="str">
        <f>IF(X$39&gt;=S43,IF(X$39&lt;S44,"X",""),"")</f>
        <v/>
      </c>
      <c r="S43" s="61">
        <v>0.05</v>
      </c>
      <c r="T43" s="59">
        <v>9.9900000000000003E-2</v>
      </c>
      <c r="U43" s="57"/>
      <c r="V43" s="57"/>
      <c r="W43" s="57"/>
      <c r="X43" s="57"/>
      <c r="Y43" s="57"/>
      <c r="Z43" s="58"/>
    </row>
    <row r="44" spans="3:26" ht="16.5" customHeight="1" x14ac:dyDescent="0.3">
      <c r="C44" s="28">
        <v>2</v>
      </c>
      <c r="D44" s="167" t="str">
        <f>IF(E44="X",C44,"")</f>
        <v/>
      </c>
      <c r="E44" s="167" t="str">
        <f>IF(K$39&gt;=F44,IF(K$39&lt;F45,"X",""),"")</f>
        <v/>
      </c>
      <c r="F44" s="61">
        <v>0.1</v>
      </c>
      <c r="G44" s="59">
        <v>0.19989999999999999</v>
      </c>
      <c r="H44" s="57"/>
      <c r="I44" s="57"/>
      <c r="J44" s="57"/>
      <c r="K44" s="57"/>
      <c r="L44" s="57"/>
      <c r="M44" s="58"/>
      <c r="N44" s="50"/>
      <c r="P44" s="28">
        <v>2</v>
      </c>
      <c r="Q44" s="167" t="str">
        <f>IF(R44="X",P44,"")</f>
        <v/>
      </c>
      <c r="R44" s="167" t="str">
        <f>IF(X$39&gt;=S44,IF(X$39&lt;S45,"X",""),"")</f>
        <v/>
      </c>
      <c r="S44" s="61">
        <v>0.1</v>
      </c>
      <c r="T44" s="59">
        <v>0.19989999999999999</v>
      </c>
      <c r="U44" s="57"/>
      <c r="V44" s="57"/>
      <c r="W44" s="57"/>
      <c r="X44" s="57"/>
      <c r="Y44" s="57"/>
      <c r="Z44" s="58"/>
    </row>
    <row r="45" spans="3:26" ht="16.5" customHeight="1" x14ac:dyDescent="0.3">
      <c r="C45" s="28">
        <v>4</v>
      </c>
      <c r="D45" s="167" t="str">
        <f>IF(E45="X",C45,"")</f>
        <v/>
      </c>
      <c r="E45" s="167" t="str">
        <f>IF(K$39&gt;=F45,IF(K$39&lt;F46,"X",""),"")</f>
        <v/>
      </c>
      <c r="F45" s="61">
        <v>0.2</v>
      </c>
      <c r="G45" s="59">
        <v>0.2999</v>
      </c>
      <c r="H45" s="57"/>
      <c r="I45" s="57"/>
      <c r="J45" s="57"/>
      <c r="K45" s="57"/>
      <c r="L45" s="57"/>
      <c r="M45" s="58"/>
      <c r="N45" s="50"/>
      <c r="P45" s="28">
        <v>4</v>
      </c>
      <c r="Q45" s="167" t="str">
        <f>IF(R45="X",P45,"")</f>
        <v/>
      </c>
      <c r="R45" s="167" t="str">
        <f>IF(X$39&gt;=S45,IF(X$39&lt;S46,"X",""),"")</f>
        <v/>
      </c>
      <c r="S45" s="61">
        <v>0.2</v>
      </c>
      <c r="T45" s="59">
        <v>0.2999</v>
      </c>
      <c r="U45" s="57"/>
      <c r="V45" s="57"/>
      <c r="W45" s="57"/>
      <c r="X45" s="57"/>
      <c r="Y45" s="57"/>
      <c r="Z45" s="58"/>
    </row>
    <row r="46" spans="3:26" ht="16.5" customHeight="1" x14ac:dyDescent="0.3">
      <c r="C46" s="28">
        <v>6</v>
      </c>
      <c r="D46" s="167" t="str">
        <f>IF(E46="X",C46,"")</f>
        <v/>
      </c>
      <c r="E46" s="167" t="str">
        <f>IF(K$39&gt;=F46,IF(K$39&lt;F47,"X",""),"")</f>
        <v/>
      </c>
      <c r="F46" s="61">
        <v>0.3</v>
      </c>
      <c r="G46" s="59">
        <v>0.39989999999999998</v>
      </c>
      <c r="H46" s="57"/>
      <c r="I46" s="57"/>
      <c r="J46" s="57"/>
      <c r="K46" s="57"/>
      <c r="L46" s="57"/>
      <c r="M46" s="58"/>
      <c r="N46" s="50"/>
      <c r="P46" s="28">
        <v>6</v>
      </c>
      <c r="Q46" s="167" t="str">
        <f>IF(R46="X",P46,"")</f>
        <v/>
      </c>
      <c r="R46" s="167" t="str">
        <f>IF(X$39&gt;=S46,IF(X$39&lt;S47,"X",""),"")</f>
        <v/>
      </c>
      <c r="S46" s="61">
        <v>0.3</v>
      </c>
      <c r="T46" s="59">
        <v>0.39989999999999998</v>
      </c>
      <c r="U46" s="57"/>
      <c r="V46" s="57"/>
      <c r="W46" s="57"/>
      <c r="X46" s="57"/>
      <c r="Y46" s="57"/>
      <c r="Z46" s="58"/>
    </row>
    <row r="47" spans="3:26" ht="16.5" customHeight="1" x14ac:dyDescent="0.3">
      <c r="C47" s="28">
        <v>8</v>
      </c>
      <c r="D47" s="167" t="str">
        <f>IF(E47="X",C47,"")</f>
        <v/>
      </c>
      <c r="E47" s="167" t="str">
        <f>IF(K$39&gt;=F47,IF(K$39&lt;=G47,"X",""),"")</f>
        <v/>
      </c>
      <c r="F47" s="61">
        <v>0.4</v>
      </c>
      <c r="G47" s="60">
        <v>1</v>
      </c>
      <c r="H47" s="57"/>
      <c r="I47" s="57"/>
      <c r="J47" s="57"/>
      <c r="K47" s="57"/>
      <c r="L47" s="57"/>
      <c r="M47" s="58"/>
      <c r="N47" s="50"/>
      <c r="P47" s="28">
        <v>8</v>
      </c>
      <c r="Q47" s="167" t="str">
        <f>IF(R47="X",P47,"")</f>
        <v/>
      </c>
      <c r="R47" s="167" t="str">
        <f>IF(X$39&gt;=S47,IF(X$39&lt;=T47,"X",""),"")</f>
        <v/>
      </c>
      <c r="S47" s="61">
        <v>0.4</v>
      </c>
      <c r="T47" s="60">
        <v>1</v>
      </c>
      <c r="U47" s="57"/>
      <c r="V47" s="57"/>
      <c r="W47" s="57"/>
      <c r="X47" s="57"/>
      <c r="Y47" s="57"/>
      <c r="Z47" s="58"/>
    </row>
    <row r="48" spans="3:26" ht="15" customHeight="1" x14ac:dyDescent="0.3">
      <c r="F48" s="8"/>
      <c r="N48" s="50"/>
      <c r="S48" s="8"/>
    </row>
    <row r="49" spans="2:26" s="8" customFormat="1" ht="15" customHeight="1" x14ac:dyDescent="0.3">
      <c r="B49" s="28"/>
      <c r="C49" s="28"/>
      <c r="N49" s="51"/>
      <c r="O49" s="28"/>
      <c r="P49" s="28"/>
    </row>
    <row r="50" spans="2:26" ht="18.899999999999999" customHeight="1" x14ac:dyDescent="0.3">
      <c r="D50" s="537"/>
      <c r="E50" s="537"/>
      <c r="F50" s="537"/>
      <c r="G50" s="537"/>
      <c r="H50" s="537"/>
      <c r="I50" s="537"/>
      <c r="J50" s="537"/>
      <c r="K50" s="537"/>
      <c r="L50" s="537"/>
      <c r="M50" s="537"/>
      <c r="N50" s="50"/>
      <c r="Q50" s="537"/>
      <c r="R50" s="537"/>
      <c r="S50" s="537"/>
      <c r="T50" s="537"/>
      <c r="U50" s="537"/>
      <c r="V50" s="537"/>
      <c r="W50" s="537"/>
      <c r="X50" s="537"/>
      <c r="Y50" s="537"/>
      <c r="Z50" s="537"/>
    </row>
    <row r="51" spans="2:26" s="8" customFormat="1" ht="18.600000000000001" customHeight="1" x14ac:dyDescent="0.3">
      <c r="B51" s="28"/>
      <c r="C51" s="28"/>
      <c r="D51" s="537"/>
      <c r="E51" s="537"/>
      <c r="F51" s="537"/>
      <c r="G51" s="537"/>
      <c r="H51" s="537"/>
      <c r="I51" s="537"/>
      <c r="J51" s="537"/>
      <c r="K51" s="537"/>
      <c r="L51" s="537"/>
      <c r="M51" s="537"/>
      <c r="N51" s="51"/>
      <c r="O51" s="28"/>
      <c r="P51" s="28"/>
      <c r="Q51" s="537"/>
      <c r="R51" s="537"/>
      <c r="S51" s="537"/>
      <c r="T51" s="537"/>
      <c r="U51" s="537"/>
      <c r="V51" s="537"/>
      <c r="W51" s="537"/>
      <c r="X51" s="537"/>
      <c r="Y51" s="537"/>
      <c r="Z51" s="537"/>
    </row>
    <row r="52" spans="2:26" s="8" customFormat="1" ht="15" customHeight="1" x14ac:dyDescent="0.3">
      <c r="B52" s="28"/>
      <c r="C52" s="28"/>
      <c r="O52" s="28"/>
      <c r="P52" s="28"/>
    </row>
    <row r="53" spans="2:26" s="8" customFormat="1" ht="15" customHeight="1" x14ac:dyDescent="0.3">
      <c r="B53" s="28"/>
      <c r="C53" s="28"/>
      <c r="O53" s="28"/>
      <c r="P53" s="28"/>
    </row>
    <row r="54" spans="2:26" s="8" customFormat="1" ht="15" customHeight="1" x14ac:dyDescent="0.3">
      <c r="B54" s="28"/>
      <c r="C54" s="28"/>
      <c r="O54" s="28"/>
      <c r="P54" s="28"/>
    </row>
    <row r="56" spans="2:26" ht="15" customHeight="1" x14ac:dyDescent="0.3">
      <c r="D56" s="9"/>
      <c r="E56" s="9"/>
      <c r="F56" s="7"/>
      <c r="Q56" s="9"/>
      <c r="R56" s="9"/>
      <c r="S56" s="7"/>
    </row>
  </sheetData>
  <sheetProtection algorithmName="SHA-512" hashValue="reD4PlXDzj/jPJMGJPRcleTHF+nYizBR3EBgSPo+3vsGALj7MmOvnVI9VvKFYLqB8lm2IuWAiRqNFwovfmyvmw==" saltValue="3vX0zisCtpm+KSGpp/I+RA==" spinCount="100000" sheet="1" objects="1" scenarios="1" selectLockedCells="1"/>
  <mergeCells count="70">
    <mergeCell ref="Q50:Z50"/>
    <mergeCell ref="Q51:Z51"/>
    <mergeCell ref="Q41:Z41"/>
    <mergeCell ref="Q28:Q39"/>
    <mergeCell ref="R28:V28"/>
    <mergeCell ref="R29:V29"/>
    <mergeCell ref="R30:V30"/>
    <mergeCell ref="R31:V31"/>
    <mergeCell ref="R32:V32"/>
    <mergeCell ref="R33:V33"/>
    <mergeCell ref="R34:V34"/>
    <mergeCell ref="R35:V35"/>
    <mergeCell ref="R36:V36"/>
    <mergeCell ref="R37:V37"/>
    <mergeCell ref="R38:V38"/>
    <mergeCell ref="R39:V39"/>
    <mergeCell ref="Q2:Z2"/>
    <mergeCell ref="Q3:Z3"/>
    <mergeCell ref="U6:Y6"/>
    <mergeCell ref="U8:V8"/>
    <mergeCell ref="Q14:Z14"/>
    <mergeCell ref="D50:M50"/>
    <mergeCell ref="D51:M51"/>
    <mergeCell ref="E32:I32"/>
    <mergeCell ref="E33:I33"/>
    <mergeCell ref="E34:I34"/>
    <mergeCell ref="E35:I35"/>
    <mergeCell ref="E36:I36"/>
    <mergeCell ref="E37:I37"/>
    <mergeCell ref="E38:I38"/>
    <mergeCell ref="D41:M41"/>
    <mergeCell ref="D28:D39"/>
    <mergeCell ref="E28:I28"/>
    <mergeCell ref="E29:I29"/>
    <mergeCell ref="E30:I30"/>
    <mergeCell ref="E31:I31"/>
    <mergeCell ref="E39:I39"/>
    <mergeCell ref="D2:M2"/>
    <mergeCell ref="D3:M3"/>
    <mergeCell ref="H6:L6"/>
    <mergeCell ref="H8:I8"/>
    <mergeCell ref="D14:M14"/>
    <mergeCell ref="D13:M13"/>
    <mergeCell ref="D24:M24"/>
    <mergeCell ref="Q13:Z13"/>
    <mergeCell ref="Q24:Z24"/>
    <mergeCell ref="F17:H17"/>
    <mergeCell ref="J17:L17"/>
    <mergeCell ref="F18:H18"/>
    <mergeCell ref="F19:H19"/>
    <mergeCell ref="F20:H20"/>
    <mergeCell ref="F21:H21"/>
    <mergeCell ref="F22:H22"/>
    <mergeCell ref="J18:L18"/>
    <mergeCell ref="J19:L19"/>
    <mergeCell ref="J20:L20"/>
    <mergeCell ref="J21:L21"/>
    <mergeCell ref="J22:L22"/>
    <mergeCell ref="S17:U17"/>
    <mergeCell ref="W17:Y17"/>
    <mergeCell ref="S18:U18"/>
    <mergeCell ref="W18:Y18"/>
    <mergeCell ref="S19:U19"/>
    <mergeCell ref="W19:Y19"/>
    <mergeCell ref="S20:U20"/>
    <mergeCell ref="W20:Y20"/>
    <mergeCell ref="S21:U21"/>
    <mergeCell ref="W21:Y21"/>
    <mergeCell ref="S22:U22"/>
    <mergeCell ref="W22:Y22"/>
  </mergeCells>
  <pageMargins left="0.7" right="0.7" top="0.75" bottom="0.75" header="0.3" footer="0.3"/>
  <pageSetup scale="68" orientation="portrait" r:id="rId1"/>
  <headerFooter>
    <oddFooter>&amp;CTab: &amp;A&amp;RPrint Date: &amp;D</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B1:AA55"/>
  <sheetViews>
    <sheetView showGridLines="0" view="pageBreakPreview" zoomScale="120" zoomScaleNormal="100" zoomScaleSheetLayoutView="120" workbookViewId="0">
      <selection activeCell="G30" sqref="G30"/>
    </sheetView>
  </sheetViews>
  <sheetFormatPr defaultColWidth="9.109375" defaultRowHeight="15.6" x14ac:dyDescent="0.3"/>
  <cols>
    <col min="1" max="1" width="3.5546875" style="1" customWidth="1"/>
    <col min="2" max="2" width="8" style="185" hidden="1" customWidth="1"/>
    <col min="3" max="3" width="9.109375" style="185" hidden="1" customWidth="1"/>
    <col min="4" max="4" width="10.5546875" style="1" customWidth="1"/>
    <col min="5" max="5" width="4.88671875" style="1" customWidth="1"/>
    <col min="6" max="13" width="12.44140625" style="1" customWidth="1"/>
    <col min="14" max="14" width="3.5546875" style="1" customWidth="1"/>
    <col min="15" max="15" width="9.109375" style="185" hidden="1" customWidth="1"/>
    <col min="16" max="16" width="20.5546875" style="185" hidden="1" customWidth="1"/>
    <col min="17" max="17" width="9.109375" style="185" hidden="1" customWidth="1"/>
    <col min="18" max="18" width="10.5546875" style="1" customWidth="1"/>
    <col min="19" max="19" width="4.88671875" style="1" customWidth="1"/>
    <col min="20" max="27" width="12.44140625" style="1" customWidth="1"/>
    <col min="28" max="16384" width="9.109375" style="1"/>
  </cols>
  <sheetData>
    <row r="1" spans="4:27" x14ac:dyDescent="0.3">
      <c r="N1" s="50"/>
    </row>
    <row r="2" spans="4:27" x14ac:dyDescent="0.3">
      <c r="D2" s="410" t="s">
        <v>347</v>
      </c>
      <c r="E2" s="410"/>
      <c r="F2" s="410"/>
      <c r="G2" s="410"/>
      <c r="H2" s="410"/>
      <c r="I2" s="410"/>
      <c r="J2" s="410"/>
      <c r="K2" s="410"/>
      <c r="L2" s="410"/>
      <c r="M2" s="410"/>
      <c r="N2" s="50"/>
      <c r="R2" s="410" t="s">
        <v>347</v>
      </c>
      <c r="S2" s="410"/>
      <c r="T2" s="410"/>
      <c r="U2" s="410"/>
      <c r="V2" s="410"/>
      <c r="W2" s="410"/>
      <c r="X2" s="410"/>
      <c r="Y2" s="410"/>
      <c r="Z2" s="410"/>
      <c r="AA2" s="410"/>
    </row>
    <row r="3" spans="4:27" ht="16.2" thickBot="1" x14ac:dyDescent="0.35">
      <c r="D3" s="411" t="s">
        <v>53</v>
      </c>
      <c r="E3" s="411"/>
      <c r="F3" s="411"/>
      <c r="G3" s="411"/>
      <c r="H3" s="411"/>
      <c r="I3" s="411"/>
      <c r="J3" s="411"/>
      <c r="K3" s="411"/>
      <c r="L3" s="411"/>
      <c r="M3" s="411"/>
      <c r="N3" s="50"/>
      <c r="R3" s="411" t="s">
        <v>54</v>
      </c>
      <c r="S3" s="411"/>
      <c r="T3" s="411"/>
      <c r="U3" s="411"/>
      <c r="V3" s="411"/>
      <c r="W3" s="411"/>
      <c r="X3" s="411"/>
      <c r="Y3" s="411"/>
      <c r="Z3" s="411"/>
      <c r="AA3" s="411"/>
    </row>
    <row r="4" spans="4:27" x14ac:dyDescent="0.3">
      <c r="D4" s="2"/>
      <c r="E4" s="2"/>
      <c r="F4" s="2"/>
      <c r="G4" s="2"/>
      <c r="H4" s="2"/>
      <c r="I4" s="2"/>
      <c r="J4" s="2"/>
      <c r="K4" s="2"/>
      <c r="L4" s="2"/>
      <c r="M4" s="2"/>
      <c r="N4" s="50"/>
      <c r="R4" s="2"/>
      <c r="S4" s="2"/>
      <c r="T4" s="2"/>
      <c r="U4" s="2"/>
      <c r="V4" s="2"/>
      <c r="W4" s="2"/>
      <c r="X4" s="2"/>
      <c r="Y4" s="2"/>
      <c r="Z4" s="2"/>
      <c r="AA4" s="2"/>
    </row>
    <row r="5" spans="4:27" x14ac:dyDescent="0.3">
      <c r="D5" s="2"/>
      <c r="E5" s="2"/>
      <c r="G5" s="56" t="s">
        <v>0</v>
      </c>
      <c r="H5" s="21" t="str">
        <f>IF(Summary!$E$5="","",Summary!$E$5)</f>
        <v/>
      </c>
      <c r="I5" s="86"/>
      <c r="J5" s="86"/>
      <c r="K5" s="86"/>
      <c r="L5" s="86"/>
      <c r="M5" s="2"/>
      <c r="N5" s="50"/>
      <c r="R5" s="2"/>
      <c r="S5" s="2"/>
      <c r="U5" s="56" t="s">
        <v>0</v>
      </c>
      <c r="V5" s="21" t="str">
        <f>IF(Summary!$S$5="","",Summary!$S$5)</f>
        <v/>
      </c>
      <c r="W5" s="86"/>
      <c r="X5" s="86"/>
      <c r="Y5" s="86"/>
      <c r="Z5" s="86"/>
      <c r="AA5" s="2"/>
    </row>
    <row r="6" spans="4:27" x14ac:dyDescent="0.3">
      <c r="G6" s="56" t="s">
        <v>1</v>
      </c>
      <c r="H6" s="515" t="str">
        <f>IF(Summary!E6="","",Summary!E6)</f>
        <v/>
      </c>
      <c r="I6" s="516"/>
      <c r="J6" s="516"/>
      <c r="K6" s="516"/>
      <c r="L6" s="517"/>
      <c r="N6" s="50"/>
      <c r="U6" s="56" t="s">
        <v>1</v>
      </c>
      <c r="V6" s="515" t="str">
        <f>IF(Summary!S6="","",Summary!S6)</f>
        <v/>
      </c>
      <c r="W6" s="516"/>
      <c r="X6" s="516"/>
      <c r="Y6" s="516"/>
      <c r="Z6" s="517"/>
    </row>
    <row r="7" spans="4:27" x14ac:dyDescent="0.3">
      <c r="G7" s="56"/>
      <c r="H7" s="182"/>
      <c r="I7" s="182"/>
      <c r="J7" s="86"/>
      <c r="K7" s="86"/>
      <c r="L7" s="86"/>
      <c r="N7" s="50"/>
      <c r="U7" s="56"/>
      <c r="V7" s="182"/>
      <c r="W7" s="182"/>
      <c r="X7" s="86"/>
      <c r="Y7" s="86"/>
      <c r="Z7" s="86"/>
    </row>
    <row r="8" spans="4:27" x14ac:dyDescent="0.3">
      <c r="G8" s="56" t="s">
        <v>48</v>
      </c>
      <c r="H8" s="518" t="str">
        <f>IF(Summary!E8="","",Summary!E8)</f>
        <v/>
      </c>
      <c r="I8" s="518"/>
      <c r="J8" s="86"/>
      <c r="K8" s="86"/>
      <c r="L8" s="86"/>
      <c r="N8" s="50"/>
      <c r="U8" s="56" t="s">
        <v>48</v>
      </c>
      <c r="V8" s="518" t="str">
        <f>IF(Summary!S8="","",Summary!S8)</f>
        <v/>
      </c>
      <c r="W8" s="518"/>
      <c r="X8" s="86"/>
      <c r="Y8" s="86"/>
      <c r="Z8" s="86"/>
    </row>
    <row r="9" spans="4:27" x14ac:dyDescent="0.3">
      <c r="G9" s="56"/>
      <c r="H9" s="84"/>
      <c r="I9" s="84"/>
      <c r="J9" s="86"/>
      <c r="K9" s="86"/>
      <c r="L9" s="86"/>
      <c r="N9" s="50"/>
      <c r="U9" s="56"/>
      <c r="V9" s="84"/>
      <c r="W9" s="84"/>
      <c r="X9" s="86"/>
      <c r="Y9" s="86"/>
      <c r="Z9" s="86"/>
    </row>
    <row r="10" spans="4:27" x14ac:dyDescent="0.3">
      <c r="G10" s="56" t="s">
        <v>45</v>
      </c>
      <c r="H10" s="23">
        <f>IF(D32&lt;&gt;"",0,SUM(D45:D46,D53:D55))</f>
        <v>0</v>
      </c>
      <c r="I10" s="84"/>
      <c r="J10" s="86"/>
      <c r="K10" s="86"/>
      <c r="L10" s="86"/>
      <c r="N10" s="50"/>
      <c r="U10" s="56" t="s">
        <v>46</v>
      </c>
      <c r="V10" s="23">
        <f>IF(R32&lt;&gt;"",0,SUM(R45:R46,R53:R55))</f>
        <v>0</v>
      </c>
      <c r="W10" s="84"/>
      <c r="X10" s="86"/>
      <c r="Y10" s="86"/>
      <c r="Z10" s="86"/>
    </row>
    <row r="11" spans="4:27" ht="16.2" thickBot="1" x14ac:dyDescent="0.35">
      <c r="D11" s="3"/>
      <c r="E11" s="3"/>
      <c r="F11" s="3"/>
      <c r="G11" s="3"/>
      <c r="H11" s="3"/>
      <c r="I11" s="3"/>
      <c r="J11" s="3"/>
      <c r="K11" s="3"/>
      <c r="L11" s="3"/>
      <c r="M11" s="3"/>
      <c r="N11" s="50"/>
      <c r="R11" s="3"/>
      <c r="S11" s="3"/>
      <c r="T11" s="3"/>
      <c r="U11" s="3"/>
      <c r="V11" s="3"/>
      <c r="W11" s="3"/>
      <c r="X11" s="3"/>
      <c r="Y11" s="3"/>
      <c r="Z11" s="3"/>
      <c r="AA11" s="3"/>
    </row>
    <row r="12" spans="4:27" x14ac:dyDescent="0.3">
      <c r="N12" s="50"/>
    </row>
    <row r="13" spans="4:27" ht="48.75" customHeight="1" x14ac:dyDescent="0.3">
      <c r="D13" s="434" t="s">
        <v>655</v>
      </c>
      <c r="E13" s="434"/>
      <c r="F13" s="434"/>
      <c r="G13" s="434"/>
      <c r="H13" s="434"/>
      <c r="I13" s="434"/>
      <c r="J13" s="434"/>
      <c r="K13" s="434"/>
      <c r="L13" s="434"/>
      <c r="M13" s="434"/>
      <c r="N13" s="50"/>
      <c r="R13" s="434" t="s">
        <v>577</v>
      </c>
      <c r="S13" s="434"/>
      <c r="T13" s="434"/>
      <c r="U13" s="434"/>
      <c r="V13" s="434"/>
      <c r="W13" s="434"/>
      <c r="X13" s="434"/>
      <c r="Y13" s="434"/>
      <c r="Z13" s="434"/>
      <c r="AA13" s="434"/>
    </row>
    <row r="14" spans="4:27" x14ac:dyDescent="0.3">
      <c r="D14" s="335"/>
      <c r="E14" s="335"/>
      <c r="F14" s="335"/>
      <c r="G14" s="335"/>
      <c r="H14" s="335"/>
      <c r="I14" s="335"/>
      <c r="J14" s="335"/>
      <c r="K14" s="335"/>
      <c r="L14" s="335"/>
      <c r="M14" s="335"/>
      <c r="N14" s="50"/>
      <c r="R14" s="335"/>
      <c r="S14" s="335"/>
      <c r="T14" s="335"/>
      <c r="U14" s="335"/>
      <c r="V14" s="335"/>
      <c r="W14" s="335"/>
      <c r="X14" s="335"/>
      <c r="Y14" s="335"/>
      <c r="Z14" s="335"/>
      <c r="AA14" s="335"/>
    </row>
    <row r="15" spans="4:27" ht="15.75" customHeight="1" x14ac:dyDescent="0.3">
      <c r="D15" s="434" t="s">
        <v>517</v>
      </c>
      <c r="E15" s="434"/>
      <c r="F15" s="434"/>
      <c r="G15" s="434"/>
      <c r="H15" s="434"/>
      <c r="I15" s="434"/>
      <c r="J15" s="434"/>
      <c r="K15" s="434"/>
      <c r="L15" s="434"/>
      <c r="M15" s="434"/>
      <c r="N15" s="50"/>
      <c r="R15" s="434" t="s">
        <v>517</v>
      </c>
      <c r="S15" s="434"/>
      <c r="T15" s="434"/>
      <c r="U15" s="434"/>
      <c r="V15" s="434"/>
      <c r="W15" s="434"/>
      <c r="X15" s="434"/>
      <c r="Y15" s="434"/>
      <c r="Z15" s="434"/>
      <c r="AA15" s="434"/>
    </row>
    <row r="16" spans="4:27" x14ac:dyDescent="0.3">
      <c r="D16" s="335"/>
      <c r="E16" s="335"/>
      <c r="F16" s="335"/>
      <c r="G16" s="335"/>
      <c r="H16" s="335"/>
      <c r="I16" s="335"/>
      <c r="J16" s="335"/>
      <c r="K16" s="335"/>
      <c r="L16" s="335"/>
      <c r="M16" s="335"/>
      <c r="N16" s="50"/>
      <c r="R16" s="335"/>
      <c r="S16" s="335"/>
      <c r="T16" s="335"/>
      <c r="U16" s="335"/>
      <c r="V16" s="335"/>
      <c r="W16" s="335"/>
      <c r="X16" s="335"/>
      <c r="Y16" s="335"/>
      <c r="Z16" s="335"/>
      <c r="AA16" s="335"/>
    </row>
    <row r="17" spans="4:27" ht="16.5" customHeight="1" thickBot="1" x14ac:dyDescent="0.35">
      <c r="D17" s="335"/>
      <c r="E17" s="335"/>
      <c r="F17" s="335"/>
      <c r="G17" s="664" t="s">
        <v>499</v>
      </c>
      <c r="H17" s="664"/>
      <c r="I17" s="664"/>
      <c r="J17" s="664"/>
      <c r="K17" s="664"/>
      <c r="L17" s="335"/>
      <c r="M17" s="335"/>
      <c r="N17" s="50"/>
      <c r="R17" s="335"/>
      <c r="S17" s="335"/>
      <c r="T17" s="335"/>
      <c r="U17" s="664" t="s">
        <v>499</v>
      </c>
      <c r="V17" s="664"/>
      <c r="W17" s="664"/>
      <c r="X17" s="664"/>
      <c r="Y17" s="664"/>
      <c r="Z17" s="335"/>
      <c r="AA17" s="335"/>
    </row>
    <row r="18" spans="4:27" ht="15.75" customHeight="1" x14ac:dyDescent="0.3">
      <c r="D18" s="335"/>
      <c r="E18" s="335"/>
      <c r="F18" s="335"/>
      <c r="G18" s="666" t="s">
        <v>318</v>
      </c>
      <c r="H18" s="666"/>
      <c r="I18" s="666" t="s">
        <v>500</v>
      </c>
      <c r="J18" s="666"/>
      <c r="K18" s="666"/>
      <c r="L18" s="335"/>
      <c r="M18" s="335"/>
      <c r="N18" s="50"/>
      <c r="R18" s="335"/>
      <c r="S18" s="335"/>
      <c r="T18" s="335"/>
      <c r="U18" s="666" t="s">
        <v>318</v>
      </c>
      <c r="V18" s="666"/>
      <c r="W18" s="666" t="s">
        <v>500</v>
      </c>
      <c r="X18" s="666"/>
      <c r="Y18" s="666"/>
      <c r="Z18" s="335"/>
      <c r="AA18" s="335"/>
    </row>
    <row r="19" spans="4:27" ht="15.75" customHeight="1" x14ac:dyDescent="0.3">
      <c r="D19" s="335"/>
      <c r="E19" s="335"/>
      <c r="F19" s="335"/>
      <c r="G19" s="667" t="s">
        <v>320</v>
      </c>
      <c r="H19" s="667"/>
      <c r="I19" s="665" t="s">
        <v>501</v>
      </c>
      <c r="J19" s="665"/>
      <c r="K19" s="665"/>
      <c r="L19" s="335"/>
      <c r="M19" s="335"/>
      <c r="N19" s="50"/>
      <c r="R19" s="335"/>
      <c r="S19" s="335"/>
      <c r="T19" s="335"/>
      <c r="U19" s="667" t="s">
        <v>320</v>
      </c>
      <c r="V19" s="667"/>
      <c r="W19" s="665" t="s">
        <v>501</v>
      </c>
      <c r="X19" s="665"/>
      <c r="Y19" s="665"/>
      <c r="Z19" s="335"/>
      <c r="AA19" s="335"/>
    </row>
    <row r="20" spans="4:27" ht="15.75" customHeight="1" x14ac:dyDescent="0.3">
      <c r="D20" s="335"/>
      <c r="E20" s="335"/>
      <c r="F20" s="335"/>
      <c r="G20" s="667" t="s">
        <v>137</v>
      </c>
      <c r="H20" s="667"/>
      <c r="I20" s="665" t="s">
        <v>501</v>
      </c>
      <c r="J20" s="665"/>
      <c r="K20" s="665"/>
      <c r="L20" s="335"/>
      <c r="M20" s="335"/>
      <c r="N20" s="50"/>
      <c r="R20" s="335"/>
      <c r="S20" s="335"/>
      <c r="T20" s="335"/>
      <c r="U20" s="667" t="s">
        <v>137</v>
      </c>
      <c r="V20" s="667"/>
      <c r="W20" s="665" t="s">
        <v>501</v>
      </c>
      <c r="X20" s="665"/>
      <c r="Y20" s="665"/>
      <c r="Z20" s="335"/>
      <c r="AA20" s="335"/>
    </row>
    <row r="21" spans="4:27" ht="15.75" customHeight="1" x14ac:dyDescent="0.3">
      <c r="D21" s="335"/>
      <c r="E21" s="335"/>
      <c r="F21" s="335"/>
      <c r="G21" s="667" t="s">
        <v>27</v>
      </c>
      <c r="H21" s="667"/>
      <c r="I21" s="665" t="s">
        <v>501</v>
      </c>
      <c r="J21" s="665"/>
      <c r="K21" s="665"/>
      <c r="L21" s="335"/>
      <c r="M21" s="335"/>
      <c r="N21" s="50"/>
      <c r="R21" s="335"/>
      <c r="S21" s="335"/>
      <c r="T21" s="335"/>
      <c r="U21" s="667" t="s">
        <v>27</v>
      </c>
      <c r="V21" s="667"/>
      <c r="W21" s="665" t="s">
        <v>501</v>
      </c>
      <c r="X21" s="665"/>
      <c r="Y21" s="665"/>
      <c r="Z21" s="335"/>
      <c r="AA21" s="335"/>
    </row>
    <row r="22" spans="4:27" ht="15.75" customHeight="1" x14ac:dyDescent="0.3">
      <c r="D22" s="335"/>
      <c r="E22" s="335"/>
      <c r="F22" s="335"/>
      <c r="G22" s="667" t="s">
        <v>321</v>
      </c>
      <c r="H22" s="667"/>
      <c r="I22" s="665" t="s">
        <v>502</v>
      </c>
      <c r="J22" s="665"/>
      <c r="K22" s="665"/>
      <c r="L22" s="335"/>
      <c r="M22" s="335"/>
      <c r="N22" s="50"/>
      <c r="R22" s="335"/>
      <c r="S22" s="335"/>
      <c r="T22" s="335"/>
      <c r="U22" s="667" t="s">
        <v>321</v>
      </c>
      <c r="V22" s="667"/>
      <c r="W22" s="665" t="s">
        <v>502</v>
      </c>
      <c r="X22" s="665"/>
      <c r="Y22" s="665"/>
      <c r="Z22" s="335"/>
      <c r="AA22" s="335"/>
    </row>
    <row r="23" spans="4:27" x14ac:dyDescent="0.3">
      <c r="D23" s="335"/>
      <c r="E23" s="335"/>
      <c r="F23" s="335"/>
      <c r="G23" s="226"/>
      <c r="H23" s="226"/>
      <c r="I23" s="285"/>
      <c r="J23" s="285"/>
      <c r="K23" s="285"/>
      <c r="L23" s="335"/>
      <c r="M23" s="335"/>
      <c r="N23" s="50"/>
      <c r="R23" s="335"/>
      <c r="S23" s="335"/>
      <c r="T23" s="335"/>
      <c r="U23" s="226"/>
      <c r="V23" s="226"/>
      <c r="W23" s="285"/>
      <c r="X23" s="285"/>
      <c r="Y23" s="285"/>
      <c r="Z23" s="335"/>
      <c r="AA23" s="335"/>
    </row>
    <row r="24" spans="4:27" ht="189.75" customHeight="1" x14ac:dyDescent="0.3">
      <c r="D24" s="434" t="s">
        <v>674</v>
      </c>
      <c r="E24" s="434"/>
      <c r="F24" s="434"/>
      <c r="G24" s="434"/>
      <c r="H24" s="434"/>
      <c r="I24" s="434"/>
      <c r="J24" s="434"/>
      <c r="K24" s="434"/>
      <c r="L24" s="434"/>
      <c r="M24" s="434"/>
      <c r="N24" s="50"/>
      <c r="R24" s="434" t="s">
        <v>674</v>
      </c>
      <c r="S24" s="434"/>
      <c r="T24" s="434"/>
      <c r="U24" s="434"/>
      <c r="V24" s="434"/>
      <c r="W24" s="434"/>
      <c r="X24" s="434"/>
      <c r="Y24" s="434"/>
      <c r="Z24" s="434"/>
      <c r="AA24" s="434"/>
    </row>
    <row r="25" spans="4:27" ht="30.75" customHeight="1" x14ac:dyDescent="0.3">
      <c r="D25" s="668" t="s">
        <v>656</v>
      </c>
      <c r="E25" s="668"/>
      <c r="F25" s="668"/>
      <c r="G25" s="668"/>
      <c r="H25" s="668"/>
      <c r="I25" s="668"/>
      <c r="J25" s="668"/>
      <c r="K25" s="668"/>
      <c r="L25" s="668"/>
      <c r="M25" s="668"/>
      <c r="N25" s="50"/>
      <c r="R25" s="668" t="s">
        <v>467</v>
      </c>
      <c r="S25" s="668"/>
      <c r="T25" s="668"/>
      <c r="U25" s="668"/>
      <c r="V25" s="668"/>
      <c r="W25" s="668"/>
      <c r="X25" s="668"/>
      <c r="Y25" s="668"/>
      <c r="Z25" s="668"/>
      <c r="AA25" s="668"/>
    </row>
    <row r="26" spans="4:27" ht="46.5" customHeight="1" x14ac:dyDescent="0.3">
      <c r="D26" s="668" t="s">
        <v>657</v>
      </c>
      <c r="E26" s="668"/>
      <c r="F26" s="668"/>
      <c r="G26" s="668"/>
      <c r="H26" s="668"/>
      <c r="I26" s="668"/>
      <c r="J26" s="668"/>
      <c r="K26" s="668"/>
      <c r="L26" s="668"/>
      <c r="M26" s="668"/>
      <c r="N26" s="50"/>
      <c r="R26" s="668" t="s">
        <v>608</v>
      </c>
      <c r="S26" s="668"/>
      <c r="T26" s="668"/>
      <c r="U26" s="668"/>
      <c r="V26" s="668"/>
      <c r="W26" s="668"/>
      <c r="X26" s="668"/>
      <c r="Y26" s="668"/>
      <c r="Z26" s="668"/>
      <c r="AA26" s="668"/>
    </row>
    <row r="27" spans="4:27" x14ac:dyDescent="0.3">
      <c r="D27" s="335"/>
      <c r="E27" s="335"/>
      <c r="F27" s="335"/>
      <c r="G27" s="335"/>
      <c r="H27" s="335"/>
      <c r="I27" s="335"/>
      <c r="J27" s="335"/>
      <c r="K27" s="335"/>
      <c r="L27" s="335"/>
      <c r="M27" s="335"/>
      <c r="N27" s="50"/>
      <c r="R27" s="335"/>
      <c r="S27" s="335"/>
      <c r="T27" s="335"/>
      <c r="U27" s="335"/>
      <c r="V27" s="335"/>
      <c r="W27" s="335"/>
      <c r="X27" s="335"/>
      <c r="Y27" s="335"/>
      <c r="Z27" s="335"/>
      <c r="AA27" s="335"/>
    </row>
    <row r="28" spans="4:27" ht="32.25" customHeight="1" x14ac:dyDescent="0.3">
      <c r="D28" s="434" t="s">
        <v>468</v>
      </c>
      <c r="E28" s="434"/>
      <c r="F28" s="434"/>
      <c r="G28" s="434"/>
      <c r="H28" s="434"/>
      <c r="I28" s="434"/>
      <c r="J28" s="434"/>
      <c r="K28" s="434"/>
      <c r="L28" s="434"/>
      <c r="M28" s="434"/>
      <c r="N28" s="50"/>
      <c r="R28" s="434" t="s">
        <v>468</v>
      </c>
      <c r="S28" s="434"/>
      <c r="T28" s="434"/>
      <c r="U28" s="434"/>
      <c r="V28" s="434"/>
      <c r="W28" s="434"/>
      <c r="X28" s="434"/>
      <c r="Y28" s="434"/>
      <c r="Z28" s="434"/>
      <c r="AA28" s="434"/>
    </row>
    <row r="29" spans="4:27" x14ac:dyDescent="0.3">
      <c r="D29" s="335"/>
      <c r="E29" s="335"/>
      <c r="F29" s="335"/>
      <c r="G29" s="335"/>
      <c r="H29" s="335"/>
      <c r="I29" s="335"/>
      <c r="J29" s="335"/>
      <c r="K29" s="335"/>
      <c r="L29" s="335"/>
      <c r="M29" s="335"/>
      <c r="N29" s="50"/>
      <c r="R29" s="335"/>
      <c r="S29" s="335"/>
      <c r="T29" s="335"/>
      <c r="U29" s="335"/>
      <c r="V29" s="335"/>
      <c r="W29" s="335"/>
      <c r="X29" s="335"/>
      <c r="Y29" s="335"/>
      <c r="Z29" s="335"/>
      <c r="AA29" s="335"/>
    </row>
    <row r="30" spans="4:27" ht="15.75" customHeight="1" x14ac:dyDescent="0.3">
      <c r="D30" s="335"/>
      <c r="E30" s="335"/>
      <c r="F30" s="335"/>
      <c r="G30" s="359"/>
      <c r="H30" s="575" t="s">
        <v>605</v>
      </c>
      <c r="I30" s="575"/>
      <c r="J30" s="575"/>
      <c r="K30" s="575"/>
      <c r="L30" s="575"/>
      <c r="M30" s="575"/>
      <c r="N30" s="50"/>
      <c r="R30" s="335"/>
      <c r="S30" s="335"/>
      <c r="T30" s="335"/>
      <c r="U30" s="287"/>
      <c r="V30" s="575" t="s">
        <v>605</v>
      </c>
      <c r="W30" s="575"/>
      <c r="X30" s="575"/>
      <c r="Y30" s="575"/>
      <c r="Z30" s="575"/>
      <c r="AA30" s="575"/>
    </row>
    <row r="31" spans="4:27" x14ac:dyDescent="0.3">
      <c r="D31" s="335"/>
      <c r="E31" s="335"/>
      <c r="F31" s="335"/>
      <c r="H31" s="575"/>
      <c r="I31" s="575"/>
      <c r="J31" s="575"/>
      <c r="K31" s="575"/>
      <c r="L31" s="575"/>
      <c r="M31" s="575"/>
      <c r="N31" s="50"/>
      <c r="R31" s="335"/>
      <c r="S31" s="335"/>
      <c r="T31" s="335"/>
      <c r="V31" s="575"/>
      <c r="W31" s="575"/>
      <c r="X31" s="575"/>
      <c r="Y31" s="575"/>
      <c r="Z31" s="575"/>
      <c r="AA31" s="575"/>
    </row>
    <row r="32" spans="4:27" ht="15.75" customHeight="1" x14ac:dyDescent="0.3">
      <c r="D32" s="548" t="str">
        <f>IF(AND(G30="",OR(SUM(D53:D55)&lt;&gt;0,SUM(D45:D46)&lt;&gt;0)),"ERROR: INDICATE IF THE SRN DEMAND LIST INDICATES SUFFICIENT SRN DEMAND IN THE RELEVANT MUNICIPALITY OR CHICAGO COMMUNITY AREA","")</f>
        <v/>
      </c>
      <c r="E32" s="548"/>
      <c r="F32" s="548"/>
      <c r="G32" s="548"/>
      <c r="H32" s="548"/>
      <c r="I32" s="548"/>
      <c r="J32" s="548"/>
      <c r="K32" s="548"/>
      <c r="L32" s="548"/>
      <c r="M32" s="548"/>
      <c r="N32" s="50"/>
      <c r="R32" s="548" t="str">
        <f>IF(AND(U30="",OR(SUM(R53:R55)&lt;&gt;0,SUM(R45:R46)&lt;&gt;0)),"ERROR: INDICATE IF THE SRN DEMAND LIST INDICATES SUFFICIENT SRN DEMAND IN THE RELEVANT MUNICIPALITY OR CHICAGO COMMUNITY AREA","")</f>
        <v/>
      </c>
      <c r="S32" s="548"/>
      <c r="T32" s="548"/>
      <c r="U32" s="548"/>
      <c r="V32" s="548"/>
      <c r="W32" s="548"/>
      <c r="X32" s="548"/>
      <c r="Y32" s="548"/>
      <c r="Z32" s="548"/>
      <c r="AA32" s="548"/>
    </row>
    <row r="33" spans="2:27" x14ac:dyDescent="0.3">
      <c r="D33" s="548"/>
      <c r="E33" s="548"/>
      <c r="F33" s="548"/>
      <c r="G33" s="548"/>
      <c r="H33" s="548"/>
      <c r="I33" s="548"/>
      <c r="J33" s="548"/>
      <c r="K33" s="548"/>
      <c r="L33" s="548"/>
      <c r="M33" s="548"/>
      <c r="N33" s="50"/>
      <c r="R33" s="548"/>
      <c r="S33" s="548"/>
      <c r="T33" s="548"/>
      <c r="U33" s="548"/>
      <c r="V33" s="548"/>
      <c r="W33" s="548"/>
      <c r="X33" s="548"/>
      <c r="Y33" s="548"/>
      <c r="Z33" s="548"/>
      <c r="AA33" s="548"/>
    </row>
    <row r="34" spans="2:27" ht="16.5" customHeight="1" thickBot="1" x14ac:dyDescent="0.35">
      <c r="D34" s="606" t="s">
        <v>196</v>
      </c>
      <c r="E34" s="606"/>
      <c r="F34" s="606"/>
      <c r="G34" s="606"/>
      <c r="H34" s="606"/>
      <c r="I34" s="606"/>
      <c r="J34" s="606"/>
      <c r="K34" s="606"/>
      <c r="L34" s="606"/>
      <c r="M34" s="606"/>
      <c r="N34" s="50"/>
      <c r="R34" s="606" t="s">
        <v>196</v>
      </c>
      <c r="S34" s="606"/>
      <c r="T34" s="606"/>
      <c r="U34" s="606"/>
      <c r="V34" s="606"/>
      <c r="W34" s="606"/>
      <c r="X34" s="606"/>
      <c r="Y34" s="606"/>
      <c r="Z34" s="606"/>
      <c r="AA34" s="606"/>
    </row>
    <row r="35" spans="2:27" x14ac:dyDescent="0.3">
      <c r="D35" s="183"/>
      <c r="E35" s="183"/>
      <c r="F35" s="183"/>
      <c r="G35" s="183"/>
      <c r="H35" s="183"/>
      <c r="I35" s="183"/>
      <c r="J35" s="183"/>
      <c r="K35" s="183"/>
      <c r="L35" s="183"/>
      <c r="M35" s="183"/>
      <c r="N35" s="50"/>
      <c r="R35" s="183"/>
      <c r="S35" s="183"/>
      <c r="T35" s="183"/>
      <c r="U35" s="183"/>
      <c r="V35" s="183"/>
      <c r="W35" s="183"/>
      <c r="X35" s="183"/>
      <c r="Y35" s="183"/>
      <c r="Z35" s="183"/>
      <c r="AA35" s="183"/>
    </row>
    <row r="36" spans="2:27" x14ac:dyDescent="0.3">
      <c r="D36" s="183"/>
      <c r="E36" s="183"/>
      <c r="F36" s="183"/>
      <c r="G36" s="183"/>
      <c r="H36" s="183"/>
      <c r="I36" s="183"/>
      <c r="J36" s="183"/>
      <c r="K36" s="183"/>
      <c r="L36" s="183"/>
      <c r="M36" s="183"/>
      <c r="N36" s="50"/>
      <c r="R36" s="183"/>
      <c r="S36" s="183"/>
      <c r="T36" s="183"/>
      <c r="U36" s="183"/>
      <c r="V36" s="183"/>
      <c r="W36" s="183"/>
      <c r="X36" s="183"/>
      <c r="Y36" s="183"/>
      <c r="Z36" s="183"/>
      <c r="AA36" s="183"/>
    </row>
    <row r="37" spans="2:27" ht="15.75" customHeight="1" x14ac:dyDescent="0.3">
      <c r="C37" s="185" t="s">
        <v>113</v>
      </c>
      <c r="E37" s="183"/>
      <c r="G37" s="22" t="s">
        <v>76</v>
      </c>
      <c r="H37" s="161">
        <f>Summary!K8</f>
        <v>0</v>
      </c>
      <c r="I37" s="669" t="str">
        <f>IF(AND(H38&lt;&gt;"",H40=""),"ERROR: INDICATE WHETHER ALL (100%) SRN UNITS WILL RECEIVE FEDERAL- OR STATE-FUNDED RENTAL ASSISTANCE SUBSIDY","")</f>
        <v/>
      </c>
      <c r="J37" s="548"/>
      <c r="K37" s="548"/>
      <c r="L37" s="548"/>
      <c r="M37" s="548"/>
      <c r="N37" s="50"/>
      <c r="Q37" s="185" t="s">
        <v>113</v>
      </c>
      <c r="S37" s="183"/>
      <c r="U37" s="22" t="s">
        <v>76</v>
      </c>
      <c r="V37" s="161">
        <f>Summary!Y8</f>
        <v>0</v>
      </c>
      <c r="W37" s="669" t="str">
        <f>IF(AND(V38&lt;&gt;"",V40=""),"ERROR: INDICATE WHETHER ALL (100%) SRN UNITS WILL RECEIVE FEDERAL- OR STATE-FUNDED RENTAL ASSISTANCE SUBSIDY","")</f>
        <v/>
      </c>
      <c r="X37" s="548"/>
      <c r="Y37" s="548"/>
      <c r="Z37" s="548"/>
      <c r="AA37" s="548"/>
    </row>
    <row r="38" spans="2:27" x14ac:dyDescent="0.3">
      <c r="C38" s="185" t="s">
        <v>114</v>
      </c>
      <c r="D38" s="183"/>
      <c r="E38" s="183"/>
      <c r="F38" s="159"/>
      <c r="G38" s="168" t="s">
        <v>576</v>
      </c>
      <c r="H38" s="158"/>
      <c r="I38" s="669"/>
      <c r="J38" s="548"/>
      <c r="K38" s="548"/>
      <c r="L38" s="548"/>
      <c r="M38" s="548"/>
      <c r="N38" s="50"/>
      <c r="Q38" s="185" t="s">
        <v>114</v>
      </c>
      <c r="R38" s="183"/>
      <c r="S38" s="183"/>
      <c r="T38" s="159"/>
      <c r="U38" s="168" t="s">
        <v>576</v>
      </c>
      <c r="V38" s="94"/>
      <c r="W38" s="669"/>
      <c r="X38" s="548"/>
      <c r="Y38" s="548"/>
      <c r="Z38" s="548"/>
      <c r="AA38" s="548"/>
    </row>
    <row r="39" spans="2:27" x14ac:dyDescent="0.3">
      <c r="D39" s="183"/>
      <c r="E39" s="183"/>
      <c r="F39" s="159"/>
      <c r="G39" s="168" t="s">
        <v>575</v>
      </c>
      <c r="H39" s="389">
        <f>IF(H37&gt;0,H38/H37,0%)</f>
        <v>0</v>
      </c>
      <c r="I39" s="669"/>
      <c r="J39" s="548"/>
      <c r="K39" s="548"/>
      <c r="L39" s="548"/>
      <c r="M39" s="548"/>
      <c r="N39" s="50"/>
      <c r="R39" s="183"/>
      <c r="S39" s="183"/>
      <c r="T39" s="159"/>
      <c r="U39" s="168" t="s">
        <v>575</v>
      </c>
      <c r="V39" s="389">
        <f>IF(V37&gt;0,V38/V37,0%)</f>
        <v>0</v>
      </c>
      <c r="W39" s="669"/>
      <c r="X39" s="548"/>
      <c r="Y39" s="548"/>
      <c r="Z39" s="548"/>
      <c r="AA39" s="548"/>
    </row>
    <row r="40" spans="2:27" ht="15.75" customHeight="1" x14ac:dyDescent="0.3">
      <c r="C40" s="185" t="s">
        <v>3</v>
      </c>
      <c r="D40" s="183"/>
      <c r="E40" s="183"/>
      <c r="F40" s="159"/>
      <c r="G40" s="168" t="s">
        <v>574</v>
      </c>
      <c r="H40" s="27"/>
      <c r="I40" s="669"/>
      <c r="J40" s="548"/>
      <c r="K40" s="548"/>
      <c r="L40" s="548"/>
      <c r="M40" s="548"/>
      <c r="N40" s="50"/>
      <c r="Q40" s="185" t="s">
        <v>3</v>
      </c>
      <c r="R40" s="183"/>
      <c r="S40" s="183"/>
      <c r="T40" s="159"/>
      <c r="U40" s="168" t="s">
        <v>574</v>
      </c>
      <c r="V40" s="77"/>
      <c r="W40" s="669"/>
      <c r="X40" s="548"/>
      <c r="Y40" s="548"/>
      <c r="Z40" s="548"/>
      <c r="AA40" s="548"/>
    </row>
    <row r="41" spans="2:27" x14ac:dyDescent="0.3">
      <c r="D41" s="86"/>
      <c r="E41" s="86"/>
      <c r="F41" s="56"/>
      <c r="I41" s="38"/>
      <c r="J41" s="38"/>
      <c r="K41" s="38"/>
      <c r="L41" s="2"/>
      <c r="M41" s="2"/>
      <c r="N41" s="50"/>
      <c r="R41" s="86"/>
      <c r="S41" s="86"/>
      <c r="T41" s="56"/>
      <c r="W41" s="38"/>
      <c r="X41" s="38"/>
      <c r="Y41" s="38"/>
      <c r="Z41" s="2"/>
      <c r="AA41" s="2"/>
    </row>
    <row r="42" spans="2:27" ht="15.75" customHeight="1" x14ac:dyDescent="0.3">
      <c r="D42" s="463" t="s">
        <v>606</v>
      </c>
      <c r="E42" s="463"/>
      <c r="F42" s="463"/>
      <c r="G42" s="463"/>
      <c r="H42" s="463"/>
      <c r="I42" s="463"/>
      <c r="J42" s="463"/>
      <c r="K42" s="463"/>
      <c r="L42" s="463"/>
      <c r="M42" s="463"/>
      <c r="N42" s="50"/>
      <c r="R42" s="463" t="s">
        <v>606</v>
      </c>
      <c r="S42" s="463"/>
      <c r="T42" s="463"/>
      <c r="U42" s="463"/>
      <c r="V42" s="463"/>
      <c r="W42" s="463"/>
      <c r="X42" s="463"/>
      <c r="Y42" s="463"/>
      <c r="Z42" s="463"/>
      <c r="AA42" s="463"/>
    </row>
    <row r="43" spans="2:27" x14ac:dyDescent="0.3">
      <c r="C43" s="1"/>
      <c r="D43" s="410"/>
      <c r="E43" s="410"/>
      <c r="F43" s="410"/>
      <c r="G43" s="410"/>
      <c r="H43" s="410"/>
      <c r="I43" s="410"/>
      <c r="J43" s="410"/>
      <c r="K43" s="410"/>
      <c r="L43" s="410"/>
      <c r="M43" s="410"/>
      <c r="N43" s="50"/>
      <c r="Q43" s="1"/>
      <c r="R43" s="410"/>
      <c r="S43" s="410"/>
      <c r="T43" s="410"/>
      <c r="U43" s="410"/>
      <c r="V43" s="410"/>
      <c r="W43" s="410"/>
      <c r="X43" s="410"/>
      <c r="Y43" s="410"/>
      <c r="Z43" s="410"/>
      <c r="AA43" s="410"/>
    </row>
    <row r="44" spans="2:27" x14ac:dyDescent="0.3">
      <c r="C44" s="342" t="s">
        <v>52</v>
      </c>
      <c r="D44" s="230" t="s">
        <v>52</v>
      </c>
      <c r="F44" s="271" t="s">
        <v>433</v>
      </c>
      <c r="G44" s="271"/>
      <c r="H44" s="271"/>
      <c r="I44" s="271"/>
      <c r="J44" s="271"/>
      <c r="K44" s="271"/>
      <c r="L44" s="271"/>
      <c r="M44" s="271"/>
      <c r="N44" s="50"/>
      <c r="Q44" s="342" t="s">
        <v>52</v>
      </c>
      <c r="R44" s="230" t="s">
        <v>52</v>
      </c>
      <c r="T44" s="271" t="s">
        <v>433</v>
      </c>
      <c r="U44" s="271"/>
      <c r="V44" s="271"/>
      <c r="W44" s="271"/>
      <c r="X44" s="271"/>
      <c r="Y44" s="271"/>
      <c r="Z44" s="271"/>
      <c r="AA44" s="271"/>
    </row>
    <row r="45" spans="2:27" x14ac:dyDescent="0.3">
      <c r="C45" s="185">
        <v>5</v>
      </c>
      <c r="D45" s="167" t="str">
        <f>IF(E45="X",C45,"")</f>
        <v/>
      </c>
      <c r="E45" s="167" t="str">
        <f>IF(H$40="No",IF(H$39&gt;0,IF(H$39&gt;=G45,IF(H$39&lt;G46,"X",""),""),""),"")</f>
        <v/>
      </c>
      <c r="F45" s="166" t="s">
        <v>200</v>
      </c>
      <c r="G45" s="232">
        <v>0.12</v>
      </c>
      <c r="H45" s="62">
        <v>0.14990000000000001</v>
      </c>
      <c r="I45" s="57"/>
      <c r="J45" s="57"/>
      <c r="K45" s="57"/>
      <c r="L45" s="57"/>
      <c r="M45" s="58"/>
      <c r="N45" s="50"/>
      <c r="Q45" s="185">
        <v>5</v>
      </c>
      <c r="R45" s="167" t="str">
        <f>IF(S45="X",Q45,"")</f>
        <v/>
      </c>
      <c r="S45" s="167" t="str">
        <f>IF(V$40="No",IF(V$39&gt;0,IF(V$39&gt;=U45,IF(V$39&lt;U46,"X",""),""),""),"")</f>
        <v/>
      </c>
      <c r="T45" s="166" t="s">
        <v>200</v>
      </c>
      <c r="U45" s="232">
        <v>0.12</v>
      </c>
      <c r="V45" s="62">
        <v>0.14990000000000001</v>
      </c>
      <c r="W45" s="57"/>
      <c r="X45" s="57"/>
      <c r="Y45" s="57"/>
      <c r="Z45" s="57"/>
      <c r="AA45" s="58"/>
    </row>
    <row r="46" spans="2:27" ht="15.75" customHeight="1" x14ac:dyDescent="0.3">
      <c r="C46" s="185">
        <v>8</v>
      </c>
      <c r="D46" s="167" t="str">
        <f>IF(E46="X",C46,"")</f>
        <v/>
      </c>
      <c r="E46" s="167" t="str">
        <f>IF(H$40="No",IF(H$39&gt;0,IF(H$39&gt;=G46,IF(H$39&lt;=H46,"X",""),""),""),"")</f>
        <v/>
      </c>
      <c r="F46" s="166" t="s">
        <v>200</v>
      </c>
      <c r="G46" s="232">
        <v>0.15</v>
      </c>
      <c r="H46" s="62">
        <v>0.2</v>
      </c>
      <c r="I46" s="57"/>
      <c r="J46" s="57"/>
      <c r="K46" s="57"/>
      <c r="L46" s="57"/>
      <c r="M46" s="58"/>
      <c r="N46" s="50"/>
      <c r="Q46" s="185">
        <v>8</v>
      </c>
      <c r="R46" s="167" t="str">
        <f>IF(S46="X",Q46,"")</f>
        <v/>
      </c>
      <c r="S46" s="167" t="str">
        <f>IF(V$40="No",IF(V$39&gt;0,IF(V$39&gt;=U46,IF(V$39&lt;=V46,"X",""),""),""),"")</f>
        <v/>
      </c>
      <c r="T46" s="166" t="s">
        <v>200</v>
      </c>
      <c r="U46" s="232">
        <v>0.15</v>
      </c>
      <c r="V46" s="62">
        <v>0.2</v>
      </c>
      <c r="W46" s="57"/>
      <c r="X46" s="57"/>
      <c r="Y46" s="57"/>
      <c r="Z46" s="57"/>
      <c r="AA46" s="58"/>
    </row>
    <row r="47" spans="2:27" x14ac:dyDescent="0.3">
      <c r="F47" s="8"/>
      <c r="N47" s="50"/>
      <c r="T47" s="8"/>
    </row>
    <row r="48" spans="2:27" s="8" customFormat="1" ht="20.399999999999999" x14ac:dyDescent="0.35">
      <c r="B48" s="28"/>
      <c r="C48" s="28"/>
      <c r="D48" s="469" t="s">
        <v>215</v>
      </c>
      <c r="E48" s="470"/>
      <c r="F48" s="470"/>
      <c r="G48" s="470"/>
      <c r="H48" s="470"/>
      <c r="I48" s="470"/>
      <c r="J48" s="470"/>
      <c r="K48" s="470"/>
      <c r="L48" s="470"/>
      <c r="M48" s="470"/>
      <c r="O48" s="28"/>
      <c r="P48" s="28"/>
      <c r="Q48" s="28"/>
      <c r="R48" s="469" t="s">
        <v>215</v>
      </c>
      <c r="S48" s="470"/>
      <c r="T48" s="470"/>
      <c r="U48" s="470"/>
      <c r="V48" s="470"/>
      <c r="W48" s="470"/>
      <c r="X48" s="470"/>
      <c r="Y48" s="470"/>
      <c r="Z48" s="470"/>
      <c r="AA48" s="470"/>
    </row>
    <row r="49" spans="2:27" s="8" customFormat="1" x14ac:dyDescent="0.3">
      <c r="B49" s="28"/>
      <c r="C49" s="28"/>
      <c r="O49" s="28"/>
      <c r="P49" s="28"/>
      <c r="Q49" s="28"/>
    </row>
    <row r="50" spans="2:27" s="8" customFormat="1" x14ac:dyDescent="0.3">
      <c r="B50" s="28"/>
      <c r="C50" s="28"/>
      <c r="D50" s="453" t="s">
        <v>607</v>
      </c>
      <c r="E50" s="453"/>
      <c r="F50" s="453"/>
      <c r="G50" s="453"/>
      <c r="H50" s="453"/>
      <c r="I50" s="453"/>
      <c r="J50" s="453"/>
      <c r="K50" s="453"/>
      <c r="L50" s="453"/>
      <c r="M50" s="453"/>
      <c r="O50" s="28"/>
      <c r="P50" s="28"/>
      <c r="Q50" s="28"/>
      <c r="R50" s="453" t="s">
        <v>607</v>
      </c>
      <c r="S50" s="453"/>
      <c r="T50" s="453"/>
      <c r="U50" s="453"/>
      <c r="V50" s="453"/>
      <c r="W50" s="453"/>
      <c r="X50" s="453"/>
      <c r="Y50" s="453"/>
      <c r="Z50" s="453"/>
      <c r="AA50" s="453"/>
    </row>
    <row r="51" spans="2:27" x14ac:dyDescent="0.3">
      <c r="G51" s="56"/>
      <c r="U51" s="56"/>
    </row>
    <row r="52" spans="2:27" x14ac:dyDescent="0.3">
      <c r="C52" s="342" t="s">
        <v>52</v>
      </c>
      <c r="D52" s="230" t="s">
        <v>52</v>
      </c>
      <c r="F52" s="271" t="s">
        <v>433</v>
      </c>
      <c r="G52" s="7"/>
      <c r="H52" s="7"/>
      <c r="I52" s="7"/>
      <c r="J52" s="7"/>
      <c r="K52" s="7"/>
      <c r="L52" s="7"/>
      <c r="M52" s="7"/>
      <c r="Q52" s="342" t="s">
        <v>52</v>
      </c>
      <c r="R52" s="230" t="s">
        <v>52</v>
      </c>
      <c r="T52" s="271" t="s">
        <v>433</v>
      </c>
      <c r="U52" s="7"/>
      <c r="V52" s="7"/>
      <c r="W52" s="7"/>
      <c r="X52" s="7"/>
      <c r="Y52" s="7"/>
      <c r="Z52" s="7"/>
      <c r="AA52" s="7"/>
    </row>
    <row r="53" spans="2:27" ht="15.75" customHeight="1" x14ac:dyDescent="0.3">
      <c r="C53" s="185">
        <v>5</v>
      </c>
      <c r="D53" s="167" t="str">
        <f>IF(E53="X",C53,"")</f>
        <v/>
      </c>
      <c r="E53" s="167" t="str">
        <f>IF(H$40="Yes",IF(H$39&gt;0,IF(H$39&gt;=G53,IF(H$39&lt;=H53,"X",""),""),""),"")</f>
        <v/>
      </c>
      <c r="F53" s="272" t="s">
        <v>432</v>
      </c>
      <c r="G53" s="232">
        <v>0.05</v>
      </c>
      <c r="H53" s="232">
        <v>0.1</v>
      </c>
      <c r="I53" s="471" t="s">
        <v>434</v>
      </c>
      <c r="J53" s="471"/>
      <c r="K53" s="471"/>
      <c r="L53" s="471"/>
      <c r="M53" s="472"/>
      <c r="Q53" s="185">
        <v>5</v>
      </c>
      <c r="R53" s="167" t="str">
        <f>IF(S53="X",Q53,"")</f>
        <v/>
      </c>
      <c r="S53" s="167" t="str">
        <f>IF(V$40="Yes",IF(V$39&gt;0,IF(V$39&gt;=U53,IF(V$39&lt;=V53,"X",""),""),""),"")</f>
        <v/>
      </c>
      <c r="T53" s="272" t="s">
        <v>432</v>
      </c>
      <c r="U53" s="232">
        <v>0.05</v>
      </c>
      <c r="V53" s="232">
        <v>0.1</v>
      </c>
      <c r="W53" s="471" t="s">
        <v>434</v>
      </c>
      <c r="X53" s="471"/>
      <c r="Y53" s="471"/>
      <c r="Z53" s="471"/>
      <c r="AA53" s="472"/>
    </row>
    <row r="54" spans="2:27" x14ac:dyDescent="0.3">
      <c r="C54" s="185">
        <v>8</v>
      </c>
      <c r="D54" s="167" t="str">
        <f t="shared" ref="D54:D55" si="0">IF(E54="X",C54,"")</f>
        <v/>
      </c>
      <c r="E54" s="167" t="str">
        <f>IF(H$40="Yes",IF(H$39&gt;0,IF(H$39&gt;=G54,IF(H$39&lt;G55,"X",""),""),""),"")</f>
        <v/>
      </c>
      <c r="F54" s="272" t="s">
        <v>432</v>
      </c>
      <c r="G54" s="232">
        <v>0.12</v>
      </c>
      <c r="H54" s="232">
        <v>0.14990000000000001</v>
      </c>
      <c r="I54" s="273"/>
      <c r="J54" s="273"/>
      <c r="K54" s="273"/>
      <c r="L54" s="273"/>
      <c r="M54" s="274"/>
      <c r="Q54" s="185">
        <v>8</v>
      </c>
      <c r="R54" s="167" t="str">
        <f t="shared" ref="R54:R55" si="1">IF(S54="X",Q54,"")</f>
        <v/>
      </c>
      <c r="S54" s="167" t="str">
        <f>IF(V$40="Yes",IF(V$39&gt;0,IF(V$39&gt;=U54,IF(V$39&lt;U55,"X",""),""),""),"")</f>
        <v/>
      </c>
      <c r="T54" s="272" t="s">
        <v>432</v>
      </c>
      <c r="U54" s="232">
        <v>0.12</v>
      </c>
      <c r="V54" s="232">
        <v>0.14990000000000001</v>
      </c>
      <c r="W54" s="273"/>
      <c r="X54" s="273"/>
      <c r="Y54" s="273"/>
      <c r="Z54" s="273"/>
      <c r="AA54" s="274"/>
    </row>
    <row r="55" spans="2:27" x14ac:dyDescent="0.3">
      <c r="C55" s="185">
        <v>10</v>
      </c>
      <c r="D55" s="167" t="str">
        <f t="shared" si="0"/>
        <v/>
      </c>
      <c r="E55" s="167" t="str">
        <f>IF(H$40="Yes",IF(H$39&gt;0,IF(H$39&gt;=G55,IF(H$39&lt;=H55,"X",""),""),""),"")</f>
        <v/>
      </c>
      <c r="F55" s="272" t="s">
        <v>432</v>
      </c>
      <c r="G55" s="232">
        <v>0.15</v>
      </c>
      <c r="H55" s="232">
        <v>0.2</v>
      </c>
      <c r="I55" s="273"/>
      <c r="J55" s="273"/>
      <c r="K55" s="273"/>
      <c r="L55" s="273"/>
      <c r="M55" s="274"/>
      <c r="Q55" s="185">
        <v>10</v>
      </c>
      <c r="R55" s="167" t="str">
        <f t="shared" si="1"/>
        <v/>
      </c>
      <c r="S55" s="167" t="str">
        <f>IF(V$40="Yes",IF(V$39&gt;0,IF(V$39&gt;=U55,IF(V$39&lt;=V55,"X",""),""),""),"")</f>
        <v/>
      </c>
      <c r="T55" s="272" t="s">
        <v>432</v>
      </c>
      <c r="U55" s="232">
        <v>0.15</v>
      </c>
      <c r="V55" s="232">
        <v>0.2</v>
      </c>
      <c r="W55" s="273"/>
      <c r="X55" s="273"/>
      <c r="Y55" s="273"/>
      <c r="Z55" s="273"/>
      <c r="AA55" s="274"/>
    </row>
  </sheetData>
  <sheetProtection algorithmName="SHA-512" hashValue="JcJIxRXyMEb4TOp9nQiGEv/Umk/Wcsxeus4LBzL8VKFDwvGpPcPTOv+S42eFp+JJLMnWPTJhGcf9HfNBsIdB0w==" saltValue="fpee6sVpaXJV9m6nZYQpbw==" spinCount="100000" sheet="1" selectLockedCells="1"/>
  <mergeCells count="60">
    <mergeCell ref="I37:M40"/>
    <mergeCell ref="W37:AA40"/>
    <mergeCell ref="D32:M33"/>
    <mergeCell ref="V30:AA31"/>
    <mergeCell ref="R32:AA33"/>
    <mergeCell ref="R24:AA24"/>
    <mergeCell ref="H30:M31"/>
    <mergeCell ref="D24:M24"/>
    <mergeCell ref="D28:M28"/>
    <mergeCell ref="D25:M25"/>
    <mergeCell ref="D26:M26"/>
    <mergeCell ref="R25:AA25"/>
    <mergeCell ref="R26:AA26"/>
    <mergeCell ref="R28:AA28"/>
    <mergeCell ref="U20:V20"/>
    <mergeCell ref="W20:Y20"/>
    <mergeCell ref="U21:V21"/>
    <mergeCell ref="W21:Y21"/>
    <mergeCell ref="U22:V22"/>
    <mergeCell ref="W22:Y22"/>
    <mergeCell ref="R15:AA15"/>
    <mergeCell ref="U17:Y17"/>
    <mergeCell ref="U18:V18"/>
    <mergeCell ref="W18:Y18"/>
    <mergeCell ref="U19:V19"/>
    <mergeCell ref="W19:Y19"/>
    <mergeCell ref="G17:K17"/>
    <mergeCell ref="I20:K20"/>
    <mergeCell ref="I21:K21"/>
    <mergeCell ref="I22:K22"/>
    <mergeCell ref="D15:M15"/>
    <mergeCell ref="G18:H18"/>
    <mergeCell ref="G19:H19"/>
    <mergeCell ref="G22:H22"/>
    <mergeCell ref="G20:H20"/>
    <mergeCell ref="G21:H21"/>
    <mergeCell ref="I19:K19"/>
    <mergeCell ref="I18:K18"/>
    <mergeCell ref="R48:AA48"/>
    <mergeCell ref="R50:AA50"/>
    <mergeCell ref="W53:AA53"/>
    <mergeCell ref="D48:M48"/>
    <mergeCell ref="D50:M50"/>
    <mergeCell ref="I53:M53"/>
    <mergeCell ref="D42:M42"/>
    <mergeCell ref="D43:M43"/>
    <mergeCell ref="R43:AA43"/>
    <mergeCell ref="D2:M2"/>
    <mergeCell ref="R2:AA2"/>
    <mergeCell ref="D3:M3"/>
    <mergeCell ref="R3:AA3"/>
    <mergeCell ref="H6:L6"/>
    <mergeCell ref="V6:Z6"/>
    <mergeCell ref="H8:I8"/>
    <mergeCell ref="V8:W8"/>
    <mergeCell ref="D13:M13"/>
    <mergeCell ref="R13:AA13"/>
    <mergeCell ref="D34:M34"/>
    <mergeCell ref="R34:AA34"/>
    <mergeCell ref="R42:AA42"/>
  </mergeCells>
  <dataValidations count="4">
    <dataValidation type="whole" operator="greaterThanOrEqual" allowBlank="1" showInputMessage="1" showErrorMessage="1" sqref="V37 F38:F40 H37 T38:T40" xr:uid="{00000000-0002-0000-1500-000001000000}">
      <formula1>0</formula1>
    </dataValidation>
    <dataValidation type="list" allowBlank="1" showInputMessage="1" showErrorMessage="1" sqref="V40" xr:uid="{D9402057-F9AF-4B1B-A78F-57E5FD0FC368}">
      <formula1>$Q$37:$Q$38</formula1>
    </dataValidation>
    <dataValidation type="list" operator="greaterThanOrEqual" showInputMessage="1" showErrorMessage="1" sqref="G30 U30" xr:uid="{D8E95698-B260-49B0-AB6B-F9198BDB0BF3}">
      <formula1>$C$39:$C$40</formula1>
    </dataValidation>
    <dataValidation type="list" allowBlank="1" showInputMessage="1" showErrorMessage="1" sqref="H40" xr:uid="{6BBBE3B9-D33F-42A2-9C05-85BC531EBAAA}">
      <formula1>$C$37:$C$38</formula1>
    </dataValidation>
  </dataValidations>
  <pageMargins left="0.7" right="0.7" top="0.75" bottom="0.75" header="0.3" footer="0.3"/>
  <pageSetup scale="61" orientation="portrait" r:id="rId1"/>
  <headerFooter>
    <oddFooter>&amp;CTab: &amp;A&amp;RPrint Date: &amp;D</oddFooter>
  </headerFooter>
  <ignoredErrors>
    <ignoredError sqref="S54 E54" formula="1"/>
  </ignoredError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E86499-4D79-41BC-81DD-CDFBC3C9EAA8}">
  <dimension ref="A1:AA57"/>
  <sheetViews>
    <sheetView showGridLines="0" view="pageBreakPreview" zoomScaleNormal="100" zoomScaleSheetLayoutView="100" workbookViewId="0">
      <selection activeCell="G15" sqref="G15"/>
    </sheetView>
  </sheetViews>
  <sheetFormatPr defaultColWidth="9.109375" defaultRowHeight="15.6" x14ac:dyDescent="0.3"/>
  <cols>
    <col min="1" max="1" width="3.5546875" style="1" customWidth="1"/>
    <col min="2" max="2" width="6.109375" style="185" hidden="1" customWidth="1"/>
    <col min="3" max="3" width="9.109375" style="185" hidden="1" customWidth="1"/>
    <col min="4" max="4" width="5" style="1" customWidth="1"/>
    <col min="5" max="5" width="4.88671875" style="1" customWidth="1"/>
    <col min="6" max="13" width="12.44140625" style="1" customWidth="1"/>
    <col min="14" max="14" width="3.5546875" style="1" customWidth="1"/>
    <col min="15" max="17" width="6.109375" style="185" hidden="1" customWidth="1"/>
    <col min="18" max="19" width="4.88671875" style="1" customWidth="1"/>
    <col min="20" max="27" width="12.44140625" style="1" customWidth="1"/>
    <col min="28" max="16384" width="9.109375" style="1"/>
  </cols>
  <sheetData>
    <row r="1" spans="2:27" x14ac:dyDescent="0.3">
      <c r="N1" s="50"/>
    </row>
    <row r="2" spans="2:27" x14ac:dyDescent="0.3">
      <c r="B2" s="185" t="s">
        <v>3</v>
      </c>
      <c r="D2" s="410" t="s">
        <v>416</v>
      </c>
      <c r="E2" s="410"/>
      <c r="F2" s="410"/>
      <c r="G2" s="410"/>
      <c r="H2" s="410"/>
      <c r="I2" s="410"/>
      <c r="J2" s="410"/>
      <c r="K2" s="410"/>
      <c r="L2" s="410"/>
      <c r="M2" s="410"/>
      <c r="N2" s="50"/>
      <c r="R2" s="410" t="s">
        <v>416</v>
      </c>
      <c r="S2" s="410"/>
      <c r="T2" s="410"/>
      <c r="U2" s="410"/>
      <c r="V2" s="410"/>
      <c r="W2" s="410"/>
      <c r="X2" s="410"/>
      <c r="Y2" s="410"/>
      <c r="Z2" s="410"/>
      <c r="AA2" s="410"/>
    </row>
    <row r="3" spans="2:27" ht="16.2" thickBot="1" x14ac:dyDescent="0.35">
      <c r="D3" s="411" t="s">
        <v>53</v>
      </c>
      <c r="E3" s="411"/>
      <c r="F3" s="411"/>
      <c r="G3" s="411"/>
      <c r="H3" s="411"/>
      <c r="I3" s="411"/>
      <c r="J3" s="411"/>
      <c r="K3" s="411"/>
      <c r="L3" s="411"/>
      <c r="M3" s="411"/>
      <c r="N3" s="50"/>
      <c r="O3" s="280" t="s">
        <v>70</v>
      </c>
      <c r="R3" s="411" t="s">
        <v>54</v>
      </c>
      <c r="S3" s="411"/>
      <c r="T3" s="411"/>
      <c r="U3" s="411"/>
      <c r="V3" s="411"/>
      <c r="W3" s="411"/>
      <c r="X3" s="411"/>
      <c r="Y3" s="411"/>
      <c r="Z3" s="411"/>
      <c r="AA3" s="411"/>
    </row>
    <row r="4" spans="2:27" x14ac:dyDescent="0.3">
      <c r="D4" s="2"/>
      <c r="E4" s="2"/>
      <c r="F4" s="2"/>
      <c r="G4" s="2"/>
      <c r="H4" s="2"/>
      <c r="I4" s="2"/>
      <c r="J4" s="2"/>
      <c r="K4" s="2"/>
      <c r="L4" s="2"/>
      <c r="M4" s="2"/>
      <c r="N4" s="50"/>
      <c r="O4" s="280">
        <v>1000</v>
      </c>
      <c r="R4" s="2"/>
      <c r="S4" s="2"/>
      <c r="T4" s="2"/>
      <c r="U4" s="2"/>
      <c r="V4" s="2"/>
      <c r="W4" s="2"/>
      <c r="X4" s="2"/>
      <c r="Y4" s="2"/>
      <c r="Z4" s="2"/>
      <c r="AA4" s="2"/>
    </row>
    <row r="5" spans="2:27" x14ac:dyDescent="0.3">
      <c r="D5" s="2"/>
      <c r="E5" s="2"/>
      <c r="G5" s="56" t="s">
        <v>0</v>
      </c>
      <c r="H5" s="21" t="str">
        <f>IF(Summary!$E$5="","",Summary!$E$5)</f>
        <v/>
      </c>
      <c r="I5" s="86"/>
      <c r="J5" s="86"/>
      <c r="K5" s="86"/>
      <c r="L5" s="86"/>
      <c r="M5" s="2"/>
      <c r="N5" s="50"/>
      <c r="R5" s="2"/>
      <c r="S5" s="2"/>
      <c r="U5" s="56" t="s">
        <v>0</v>
      </c>
      <c r="V5" s="21" t="str">
        <f>IF(Summary!$S$5="","",Summary!$S$5)</f>
        <v/>
      </c>
      <c r="W5" s="86"/>
      <c r="X5" s="86"/>
      <c r="Y5" s="86"/>
      <c r="Z5" s="86"/>
      <c r="AA5" s="2"/>
    </row>
    <row r="6" spans="2:27" x14ac:dyDescent="0.3">
      <c r="G6" s="56" t="s">
        <v>1</v>
      </c>
      <c r="H6" s="515" t="str">
        <f>IF(Summary!E6="","",Summary!E6)</f>
        <v/>
      </c>
      <c r="I6" s="516"/>
      <c r="J6" s="516"/>
      <c r="K6" s="516"/>
      <c r="L6" s="517"/>
      <c r="N6" s="50"/>
      <c r="O6" s="9" t="s">
        <v>474</v>
      </c>
      <c r="U6" s="56" t="s">
        <v>1</v>
      </c>
      <c r="V6" s="515" t="str">
        <f>IF(Summary!$S6="","",Summary!$S6)</f>
        <v/>
      </c>
      <c r="W6" s="516"/>
      <c r="X6" s="516" t="str">
        <f>IF(Summary!$S6="","",Summary!$S6)</f>
        <v/>
      </c>
      <c r="Y6" s="516"/>
      <c r="Z6" s="517" t="str">
        <f>IF(Summary!$S6="","",Summary!$S6)</f>
        <v/>
      </c>
    </row>
    <row r="7" spans="2:27" x14ac:dyDescent="0.3">
      <c r="G7" s="56"/>
      <c r="H7" s="182"/>
      <c r="I7" s="182"/>
      <c r="J7" s="86"/>
      <c r="K7" s="86"/>
      <c r="L7" s="86"/>
      <c r="N7" s="50"/>
      <c r="O7" s="9" t="s">
        <v>138</v>
      </c>
      <c r="U7" s="56"/>
      <c r="V7" s="182"/>
      <c r="W7" s="182"/>
      <c r="X7" s="86"/>
      <c r="Y7" s="86"/>
      <c r="Z7" s="86"/>
    </row>
    <row r="8" spans="2:27" x14ac:dyDescent="0.3">
      <c r="G8" s="56" t="s">
        <v>48</v>
      </c>
      <c r="H8" s="518" t="str">
        <f>IF(Summary!E8="","",Summary!E8)</f>
        <v/>
      </c>
      <c r="I8" s="518"/>
      <c r="J8" s="86"/>
      <c r="K8" s="86"/>
      <c r="L8" s="86"/>
      <c r="N8" s="50"/>
      <c r="O8" s="9"/>
      <c r="U8" s="56" t="s">
        <v>48</v>
      </c>
      <c r="V8" s="526" t="str">
        <f>IF(Summary!$S8="","",Summary!$S8)</f>
        <v/>
      </c>
      <c r="W8" s="527"/>
      <c r="X8" s="86"/>
      <c r="Y8" s="86"/>
      <c r="Z8" s="86"/>
    </row>
    <row r="9" spans="2:27" x14ac:dyDescent="0.3">
      <c r="G9" s="56"/>
      <c r="H9" s="84"/>
      <c r="I9" s="84"/>
      <c r="J9" s="86"/>
      <c r="K9" s="86"/>
      <c r="L9" s="86"/>
      <c r="N9" s="50"/>
      <c r="O9" s="1"/>
      <c r="U9" s="56"/>
      <c r="V9" s="84"/>
      <c r="W9" s="84"/>
      <c r="X9" s="86"/>
      <c r="Y9" s="86"/>
      <c r="Z9" s="86"/>
    </row>
    <row r="10" spans="2:27" x14ac:dyDescent="0.3">
      <c r="G10" s="56" t="s">
        <v>45</v>
      </c>
      <c r="H10" s="23">
        <f>IF(AND(D23="",D17=""),SUM(D21),"")</f>
        <v>0</v>
      </c>
      <c r="I10" s="84"/>
      <c r="J10" s="86"/>
      <c r="K10" s="86"/>
      <c r="L10" s="86"/>
      <c r="N10" s="50"/>
      <c r="O10" s="1"/>
      <c r="U10" s="56" t="s">
        <v>46</v>
      </c>
      <c r="V10" s="23">
        <f>IF(R17="",SUM(R21),0)</f>
        <v>0</v>
      </c>
      <c r="W10" s="84"/>
      <c r="X10" s="86"/>
      <c r="Y10" s="86"/>
      <c r="Z10" s="86"/>
    </row>
    <row r="11" spans="2:27" ht="16.2" thickBot="1" x14ac:dyDescent="0.35">
      <c r="D11" s="3"/>
      <c r="E11" s="3"/>
      <c r="F11" s="3"/>
      <c r="G11" s="3"/>
      <c r="H11" s="3"/>
      <c r="I11" s="3"/>
      <c r="J11" s="3"/>
      <c r="K11" s="3"/>
      <c r="L11" s="3"/>
      <c r="M11" s="3"/>
      <c r="N11" s="50"/>
      <c r="O11" s="1"/>
      <c r="R11" s="3"/>
      <c r="S11" s="3"/>
      <c r="T11" s="3"/>
      <c r="U11" s="3"/>
      <c r="V11" s="3"/>
      <c r="W11" s="3"/>
      <c r="X11" s="3"/>
      <c r="Y11" s="3"/>
      <c r="Z11" s="3"/>
      <c r="AA11" s="3"/>
    </row>
    <row r="12" spans="2:27" x14ac:dyDescent="0.3">
      <c r="N12" s="50"/>
      <c r="O12" s="1"/>
    </row>
    <row r="13" spans="2:27" ht="128.25" customHeight="1" x14ac:dyDescent="0.3">
      <c r="D13" s="434" t="s">
        <v>659</v>
      </c>
      <c r="E13" s="434"/>
      <c r="F13" s="434"/>
      <c r="G13" s="434"/>
      <c r="H13" s="434"/>
      <c r="I13" s="434"/>
      <c r="J13" s="434"/>
      <c r="K13" s="434"/>
      <c r="L13" s="434"/>
      <c r="M13" s="434"/>
      <c r="N13" s="50"/>
      <c r="O13" s="1"/>
      <c r="R13" s="434" t="s">
        <v>659</v>
      </c>
      <c r="S13" s="434"/>
      <c r="T13" s="434"/>
      <c r="U13" s="434"/>
      <c r="V13" s="434"/>
      <c r="W13" s="434"/>
      <c r="X13" s="434"/>
      <c r="Y13" s="434"/>
      <c r="Z13" s="434"/>
      <c r="AA13" s="434"/>
    </row>
    <row r="14" spans="2:27" x14ac:dyDescent="0.3">
      <c r="D14" s="335"/>
      <c r="E14" s="335"/>
      <c r="F14" s="335"/>
      <c r="G14" s="335"/>
      <c r="H14" s="335"/>
      <c r="I14" s="335"/>
      <c r="J14" s="335"/>
      <c r="K14" s="335"/>
      <c r="L14" s="335"/>
      <c r="M14" s="335"/>
      <c r="N14" s="50"/>
      <c r="O14" s="1"/>
      <c r="R14" s="335"/>
      <c r="S14" s="335"/>
      <c r="T14" s="335"/>
      <c r="U14" s="335"/>
      <c r="V14" s="335"/>
      <c r="W14" s="335"/>
      <c r="X14" s="335"/>
      <c r="Y14" s="335"/>
      <c r="Z14" s="335"/>
      <c r="AA14" s="335"/>
    </row>
    <row r="15" spans="2:27" ht="15.75" customHeight="1" x14ac:dyDescent="0.3">
      <c r="D15" s="335"/>
      <c r="E15" s="335"/>
      <c r="F15" s="335"/>
      <c r="G15" s="359"/>
      <c r="H15" s="575" t="s">
        <v>658</v>
      </c>
      <c r="I15" s="575"/>
      <c r="J15" s="575"/>
      <c r="K15" s="575"/>
      <c r="L15" s="575"/>
      <c r="M15" s="575"/>
      <c r="N15" s="50"/>
      <c r="O15" s="1"/>
      <c r="R15" s="335"/>
      <c r="S15" s="335"/>
      <c r="T15" s="335"/>
      <c r="U15" s="287"/>
      <c r="V15" s="575" t="s">
        <v>658</v>
      </c>
      <c r="W15" s="575"/>
      <c r="X15" s="575"/>
      <c r="Y15" s="575"/>
      <c r="Z15" s="575"/>
      <c r="AA15" s="575"/>
    </row>
    <row r="16" spans="2:27" x14ac:dyDescent="0.3">
      <c r="D16" s="335"/>
      <c r="E16" s="335"/>
      <c r="F16" s="335"/>
      <c r="H16" s="575"/>
      <c r="I16" s="575"/>
      <c r="J16" s="575"/>
      <c r="K16" s="575"/>
      <c r="L16" s="575"/>
      <c r="M16" s="575"/>
      <c r="N16" s="50"/>
      <c r="O16" s="1"/>
      <c r="R16" s="335"/>
      <c r="S16" s="335"/>
      <c r="T16" s="335"/>
      <c r="V16" s="575"/>
      <c r="W16" s="575"/>
      <c r="X16" s="575"/>
      <c r="Y16" s="575"/>
      <c r="Z16" s="575"/>
      <c r="AA16" s="575"/>
    </row>
    <row r="17" spans="1:27" x14ac:dyDescent="0.3">
      <c r="D17" s="548" t="str">
        <f>IF(AND(E21="X",G15=""),"ERROR: MUST INDICATE IF THE SECTION 811 DEMAND LIST INDICATES SUFFICIENT DEMAND","")</f>
        <v/>
      </c>
      <c r="E17" s="548"/>
      <c r="F17" s="548"/>
      <c r="G17" s="548"/>
      <c r="H17" s="548"/>
      <c r="I17" s="548"/>
      <c r="J17" s="548"/>
      <c r="K17" s="548"/>
      <c r="L17" s="548"/>
      <c r="M17" s="548"/>
      <c r="N17" s="50"/>
      <c r="O17" s="1"/>
      <c r="R17" s="548" t="str">
        <f>IF(AND(S21="X",U15=""),"ERROR: MUST INDICATE IF THE SECTION 811 DEMAND LIST INDICATES SUFFICIENT DEMAND AND SPONSOR COMPLETED INTEREST FORM","")</f>
        <v/>
      </c>
      <c r="S17" s="548"/>
      <c r="T17" s="548"/>
      <c r="U17" s="548"/>
      <c r="V17" s="548"/>
      <c r="W17" s="548"/>
      <c r="X17" s="548"/>
      <c r="Y17" s="548"/>
      <c r="Z17" s="548"/>
      <c r="AA17" s="548"/>
    </row>
    <row r="18" spans="1:27" ht="15.75" customHeight="1" x14ac:dyDescent="0.3">
      <c r="D18" s="548"/>
      <c r="E18" s="548"/>
      <c r="F18" s="548"/>
      <c r="G18" s="548"/>
      <c r="H18" s="548"/>
      <c r="I18" s="548"/>
      <c r="J18" s="548"/>
      <c r="K18" s="548"/>
      <c r="L18" s="548"/>
      <c r="M18" s="548"/>
      <c r="N18" s="50"/>
      <c r="O18" s="1"/>
      <c r="R18" s="548"/>
      <c r="S18" s="548"/>
      <c r="T18" s="548"/>
      <c r="U18" s="548"/>
      <c r="V18" s="548"/>
      <c r="W18" s="548"/>
      <c r="X18" s="548"/>
      <c r="Y18" s="548"/>
      <c r="Z18" s="548"/>
      <c r="AA18" s="548"/>
    </row>
    <row r="19" spans="1:27" ht="16.5" customHeight="1" thickBot="1" x14ac:dyDescent="0.35">
      <c r="D19" s="606" t="s">
        <v>325</v>
      </c>
      <c r="E19" s="606"/>
      <c r="F19" s="606"/>
      <c r="G19" s="606"/>
      <c r="H19" s="606"/>
      <c r="I19" s="606"/>
      <c r="J19" s="606"/>
      <c r="K19" s="606"/>
      <c r="L19" s="606"/>
      <c r="M19" s="606"/>
      <c r="N19" s="50"/>
      <c r="R19" s="606" t="s">
        <v>325</v>
      </c>
      <c r="S19" s="606"/>
      <c r="T19" s="606"/>
      <c r="U19" s="606"/>
      <c r="V19" s="606"/>
      <c r="W19" s="606"/>
      <c r="X19" s="606"/>
      <c r="Y19" s="606"/>
      <c r="Z19" s="606"/>
      <c r="AA19" s="606"/>
    </row>
    <row r="20" spans="1:27" x14ac:dyDescent="0.3">
      <c r="F20" s="7"/>
      <c r="G20" s="7"/>
      <c r="H20" s="7"/>
      <c r="I20" s="7"/>
      <c r="J20" s="7"/>
      <c r="K20" s="7"/>
      <c r="L20" s="7"/>
      <c r="M20" s="7"/>
      <c r="N20" s="50"/>
      <c r="T20" s="7"/>
      <c r="U20" s="7"/>
      <c r="V20" s="7"/>
      <c r="W20" s="7"/>
      <c r="X20" s="7"/>
      <c r="Y20" s="7"/>
      <c r="Z20" s="7"/>
      <c r="AA20" s="7"/>
    </row>
    <row r="21" spans="1:27" s="8" customFormat="1" ht="51" customHeight="1" x14ac:dyDescent="0.3">
      <c r="B21" s="28"/>
      <c r="C21" s="28">
        <v>2</v>
      </c>
      <c r="D21" s="167" t="str">
        <f>IF(E21="X",C21,"")</f>
        <v/>
      </c>
      <c r="E21" s="27"/>
      <c r="F21" s="509" t="s">
        <v>662</v>
      </c>
      <c r="G21" s="510"/>
      <c r="H21" s="510"/>
      <c r="I21" s="510"/>
      <c r="J21" s="510"/>
      <c r="K21" s="510"/>
      <c r="L21" s="510"/>
      <c r="M21" s="511"/>
      <c r="O21" s="28"/>
      <c r="P21" s="28"/>
      <c r="Q21" s="28">
        <v>2</v>
      </c>
      <c r="R21" s="167" t="str">
        <f>IF(S21="X",Q21,"")</f>
        <v/>
      </c>
      <c r="S21" s="77"/>
      <c r="T21" s="509" t="s">
        <v>662</v>
      </c>
      <c r="U21" s="510"/>
      <c r="V21" s="510"/>
      <c r="W21" s="510"/>
      <c r="X21" s="510"/>
      <c r="Y21" s="510"/>
      <c r="Z21" s="510"/>
      <c r="AA21" s="511"/>
    </row>
    <row r="22" spans="1:27" s="8" customFormat="1" x14ac:dyDescent="0.3">
      <c r="B22" s="28"/>
      <c r="C22" s="28"/>
      <c r="D22" s="673"/>
      <c r="E22" s="673"/>
      <c r="F22" s="673"/>
      <c r="G22" s="673"/>
      <c r="H22" s="673"/>
      <c r="I22" s="673"/>
      <c r="J22" s="673"/>
      <c r="K22" s="673"/>
      <c r="L22" s="673"/>
      <c r="M22" s="673"/>
      <c r="O22" s="28"/>
      <c r="P22" s="28"/>
      <c r="Q22" s="28"/>
      <c r="R22" s="1"/>
      <c r="S22" s="1"/>
      <c r="U22" s="1"/>
      <c r="V22" s="1"/>
      <c r="W22" s="1"/>
      <c r="X22" s="1"/>
      <c r="Y22" s="1"/>
      <c r="Z22" s="1"/>
      <c r="AA22" s="1"/>
    </row>
    <row r="23" spans="1:27" s="8" customFormat="1" x14ac:dyDescent="0.3">
      <c r="B23" s="28"/>
      <c r="C23" s="28"/>
      <c r="D23" s="534" t="str">
        <f>IF(AND(E21="X",OR(E43="",E49="",I54="")),"ERROR: INTEREST CERTIFICATION FORM MUST BE COMPLETED BELOW","")</f>
        <v/>
      </c>
      <c r="E23" s="534"/>
      <c r="F23" s="534"/>
      <c r="G23" s="534"/>
      <c r="H23" s="534"/>
      <c r="I23" s="534"/>
      <c r="J23" s="534"/>
      <c r="K23" s="534"/>
      <c r="L23" s="534"/>
      <c r="M23" s="534"/>
      <c r="O23" s="28"/>
      <c r="P23" s="28"/>
      <c r="Q23" s="28"/>
      <c r="R23" s="1"/>
      <c r="S23" s="1"/>
      <c r="U23" s="9" t="s">
        <v>479</v>
      </c>
      <c r="V23" s="1"/>
      <c r="W23" s="1"/>
      <c r="X23" s="1"/>
      <c r="Y23" s="77"/>
      <c r="Z23" s="1"/>
      <c r="AA23" s="1"/>
    </row>
    <row r="24" spans="1:27" x14ac:dyDescent="0.3">
      <c r="D24" s="534"/>
      <c r="E24" s="534"/>
      <c r="F24" s="534"/>
      <c r="G24" s="534"/>
      <c r="H24" s="534"/>
      <c r="I24" s="534"/>
      <c r="J24" s="534"/>
      <c r="K24" s="534"/>
      <c r="L24" s="534"/>
      <c r="M24" s="534"/>
    </row>
    <row r="26" spans="1:27" ht="16.5" customHeight="1" x14ac:dyDescent="0.3">
      <c r="D26" s="410" t="s">
        <v>418</v>
      </c>
      <c r="E26" s="410"/>
      <c r="F26" s="410"/>
      <c r="G26" s="410"/>
      <c r="H26" s="410"/>
      <c r="I26" s="410"/>
      <c r="J26" s="410"/>
      <c r="K26" s="410"/>
      <c r="L26" s="410"/>
      <c r="M26" s="410"/>
    </row>
    <row r="27" spans="1:27" ht="16.5" customHeight="1" thickBot="1" x14ac:dyDescent="0.35">
      <c r="D27" s="411" t="s">
        <v>53</v>
      </c>
      <c r="E27" s="411"/>
      <c r="F27" s="411"/>
      <c r="G27" s="411"/>
      <c r="H27" s="411"/>
      <c r="I27" s="411"/>
      <c r="J27" s="411"/>
      <c r="K27" s="411"/>
      <c r="L27" s="411"/>
      <c r="M27" s="411"/>
    </row>
    <row r="29" spans="1:27" x14ac:dyDescent="0.3">
      <c r="A29" s="2"/>
      <c r="B29" s="2"/>
      <c r="C29" s="1"/>
      <c r="D29" s="2"/>
      <c r="E29" s="2"/>
      <c r="G29" s="56" t="s">
        <v>0</v>
      </c>
      <c r="H29" s="21" t="str">
        <f>IF(Summary!E5="","",Summary!E5)</f>
        <v/>
      </c>
      <c r="I29" s="86"/>
      <c r="J29" s="86"/>
      <c r="K29" s="86"/>
      <c r="L29" s="86"/>
      <c r="M29" s="2"/>
    </row>
    <row r="30" spans="1:27" x14ac:dyDescent="0.3">
      <c r="B30" s="1"/>
      <c r="C30" s="1"/>
      <c r="G30" s="56" t="s">
        <v>1</v>
      </c>
      <c r="H30" s="515" t="str">
        <f>IF(Summary!E6="","",Summary!E6)</f>
        <v/>
      </c>
      <c r="I30" s="516"/>
      <c r="J30" s="516"/>
      <c r="K30" s="516"/>
      <c r="L30" s="517"/>
    </row>
    <row r="31" spans="1:27" x14ac:dyDescent="0.3">
      <c r="B31" s="1"/>
      <c r="C31" s="1"/>
      <c r="G31" s="56"/>
      <c r="H31" s="182"/>
      <c r="I31" s="182"/>
      <c r="J31" s="86"/>
      <c r="K31" s="86"/>
      <c r="L31" s="86"/>
    </row>
    <row r="32" spans="1:27" x14ac:dyDescent="0.3">
      <c r="B32" s="1"/>
      <c r="C32" s="1"/>
      <c r="G32" s="56" t="s">
        <v>48</v>
      </c>
      <c r="H32" s="518" t="str">
        <f>IF(Summary!E8="","",Summary!E8)</f>
        <v/>
      </c>
      <c r="I32" s="518"/>
      <c r="J32" s="86"/>
      <c r="K32" s="86"/>
      <c r="L32" s="86"/>
    </row>
    <row r="33" spans="4:13" ht="16.2" thickBot="1" x14ac:dyDescent="0.35">
      <c r="D33" s="3"/>
      <c r="E33" s="3"/>
      <c r="F33" s="3"/>
      <c r="G33" s="3"/>
      <c r="H33" s="3"/>
      <c r="I33" s="3"/>
      <c r="J33" s="3"/>
      <c r="K33" s="3"/>
      <c r="L33" s="3"/>
      <c r="M33" s="3"/>
    </row>
    <row r="35" spans="4:13" x14ac:dyDescent="0.3">
      <c r="D35" s="279" t="s">
        <v>325</v>
      </c>
      <c r="G35" s="56"/>
      <c r="H35" s="53"/>
      <c r="I35" s="84"/>
      <c r="J35" s="86"/>
      <c r="K35" s="86"/>
      <c r="L35" s="86"/>
    </row>
    <row r="36" spans="4:13" ht="62.25" customHeight="1" x14ac:dyDescent="0.3">
      <c r="D36" s="434" t="s">
        <v>671</v>
      </c>
      <c r="E36" s="434"/>
      <c r="F36" s="434"/>
      <c r="G36" s="434"/>
      <c r="H36" s="434"/>
      <c r="I36" s="434"/>
      <c r="J36" s="434"/>
      <c r="K36" s="434"/>
      <c r="L36" s="434"/>
      <c r="M36" s="434"/>
    </row>
    <row r="37" spans="4:13" x14ac:dyDescent="0.3">
      <c r="K37" s="86"/>
      <c r="L37" s="86"/>
      <c r="M37" s="86"/>
    </row>
    <row r="38" spans="4:13" x14ac:dyDescent="0.3">
      <c r="D38" s="279" t="s">
        <v>469</v>
      </c>
    </row>
    <row r="39" spans="4:13" ht="48.75" customHeight="1" x14ac:dyDescent="0.3">
      <c r="D39" s="434" t="s">
        <v>660</v>
      </c>
      <c r="E39" s="434"/>
      <c r="F39" s="434"/>
      <c r="G39" s="434"/>
      <c r="H39" s="434"/>
      <c r="I39" s="434"/>
      <c r="J39" s="434"/>
      <c r="K39" s="434"/>
      <c r="L39" s="434"/>
      <c r="M39" s="434"/>
    </row>
    <row r="41" spans="4:13" ht="16.5" customHeight="1" thickBot="1" x14ac:dyDescent="0.35">
      <c r="D41" s="606" t="s">
        <v>470</v>
      </c>
      <c r="E41" s="606"/>
      <c r="F41" s="606"/>
      <c r="G41" s="606"/>
      <c r="H41" s="606"/>
      <c r="I41" s="606"/>
      <c r="J41" s="606"/>
      <c r="K41" s="606"/>
      <c r="L41" s="606"/>
      <c r="M41" s="606"/>
    </row>
    <row r="42" spans="4:13" x14ac:dyDescent="0.3">
      <c r="D42" s="87"/>
      <c r="E42" s="87"/>
      <c r="F42" s="87"/>
      <c r="G42" s="87"/>
      <c r="H42" s="87"/>
      <c r="I42" s="87"/>
      <c r="J42" s="87"/>
      <c r="K42" s="87"/>
      <c r="L42" s="87"/>
      <c r="M42" s="87"/>
    </row>
    <row r="43" spans="4:13" ht="33" customHeight="1" x14ac:dyDescent="0.3">
      <c r="D43" s="167"/>
      <c r="E43" s="27"/>
      <c r="F43" s="473" t="s">
        <v>478</v>
      </c>
      <c r="G43" s="474"/>
      <c r="H43" s="474"/>
      <c r="I43" s="474"/>
      <c r="J43" s="474"/>
      <c r="K43" s="474"/>
      <c r="L43" s="474"/>
      <c r="M43" s="475"/>
    </row>
    <row r="45" spans="4:13" ht="16.5" customHeight="1" thickBot="1" x14ac:dyDescent="0.35">
      <c r="D45" s="606" t="s">
        <v>471</v>
      </c>
      <c r="E45" s="606"/>
      <c r="F45" s="606"/>
      <c r="G45" s="606"/>
      <c r="H45" s="606"/>
      <c r="I45" s="606"/>
      <c r="J45" s="606"/>
      <c r="K45" s="606"/>
      <c r="L45" s="606"/>
      <c r="M45" s="606"/>
    </row>
    <row r="47" spans="4:13" x14ac:dyDescent="0.3">
      <c r="D47" s="279" t="s">
        <v>472</v>
      </c>
    </row>
    <row r="48" spans="4:13" x14ac:dyDescent="0.3">
      <c r="D48" s="1" t="s">
        <v>475</v>
      </c>
    </row>
    <row r="49" spans="4:14" ht="91.5" customHeight="1" x14ac:dyDescent="0.3">
      <c r="E49" s="523"/>
      <c r="F49" s="524"/>
      <c r="G49" s="524"/>
      <c r="H49" s="524"/>
      <c r="I49" s="524"/>
      <c r="J49" s="524"/>
      <c r="K49" s="524"/>
      <c r="L49" s="524"/>
      <c r="M49" s="524"/>
      <c r="N49" s="380"/>
    </row>
    <row r="50" spans="4:14" x14ac:dyDescent="0.3">
      <c r="E50" s="67" t="s">
        <v>473</v>
      </c>
      <c r="F50" s="67"/>
      <c r="G50" s="276"/>
      <c r="H50" s="284">
        <f>O4-LEN(E49)</f>
        <v>1000</v>
      </c>
      <c r="I50" s="380"/>
      <c r="J50" s="380"/>
      <c r="K50" s="380"/>
      <c r="L50" s="380"/>
      <c r="M50" s="380"/>
    </row>
    <row r="51" spans="4:14" x14ac:dyDescent="0.3">
      <c r="E51" s="380"/>
      <c r="F51" s="380"/>
      <c r="G51" s="380"/>
      <c r="H51" s="380"/>
      <c r="I51" s="380"/>
      <c r="J51" s="380"/>
      <c r="K51" s="380"/>
      <c r="L51" s="380"/>
      <c r="M51" s="380"/>
    </row>
    <row r="52" spans="4:14" x14ac:dyDescent="0.3">
      <c r="D52" s="279" t="s">
        <v>476</v>
      </c>
      <c r="E52" s="380"/>
      <c r="F52" s="380"/>
      <c r="G52" s="380"/>
      <c r="H52" s="380"/>
      <c r="I52" s="380"/>
      <c r="J52" s="380"/>
      <c r="K52" s="380"/>
      <c r="L52" s="380"/>
      <c r="M52" s="380"/>
    </row>
    <row r="53" spans="4:14" x14ac:dyDescent="0.3">
      <c r="D53" s="279"/>
      <c r="E53" s="380"/>
      <c r="F53" s="380"/>
      <c r="G53" s="380"/>
      <c r="H53" s="380"/>
      <c r="I53" s="380"/>
      <c r="J53" s="380"/>
      <c r="K53" s="380"/>
      <c r="L53" s="380"/>
      <c r="M53" s="380"/>
    </row>
    <row r="54" spans="4:14" x14ac:dyDescent="0.3">
      <c r="H54" s="168" t="s">
        <v>477</v>
      </c>
      <c r="I54" s="670"/>
      <c r="J54" s="671"/>
      <c r="K54" s="672"/>
    </row>
    <row r="55" spans="4:14" x14ac:dyDescent="0.3">
      <c r="H55" s="168" t="s">
        <v>661</v>
      </c>
      <c r="I55" s="392"/>
    </row>
    <row r="56" spans="4:14" x14ac:dyDescent="0.3">
      <c r="H56" s="168" t="s">
        <v>554</v>
      </c>
      <c r="I56" s="341" t="str">
        <f>IF(Summary!K8="","",Summary!K8)</f>
        <v/>
      </c>
    </row>
    <row r="57" spans="4:14" x14ac:dyDescent="0.3">
      <c r="D57" s="534" t="e">
        <f>IF(I55/I56&gt;0.25,"ERROR: THE AUTHORITY WILL PROVIDE SECTION 811 PRA TO NO MORE THAN 25% OF TOTAL PROJECT UNITS","")</f>
        <v>#VALUE!</v>
      </c>
      <c r="E57" s="534"/>
      <c r="F57" s="534"/>
      <c r="G57" s="534"/>
      <c r="H57" s="534"/>
      <c r="I57" s="534"/>
      <c r="J57" s="534"/>
      <c r="K57" s="534"/>
      <c r="L57" s="534"/>
      <c r="M57" s="534"/>
    </row>
  </sheetData>
  <sheetProtection algorithmName="SHA-512" hashValue="0ofZ4y0+4aFqwfqs4ZQT7N51p7I6qifVj1jwgmCzEjWff01MnJNAj8e4hTVfkFGTQfJgakXehP+AnYbhocpwJg==" saltValue="QLdlH0PFfEBJmEvh41k0UA==" spinCount="100000" sheet="1" objects="1" scenarios="1" selectLockedCells="1"/>
  <mergeCells count="33">
    <mergeCell ref="T21:AA21"/>
    <mergeCell ref="D24:M24"/>
    <mergeCell ref="D17:M18"/>
    <mergeCell ref="D26:M26"/>
    <mergeCell ref="F21:M21"/>
    <mergeCell ref="D57:M57"/>
    <mergeCell ref="D23:M23"/>
    <mergeCell ref="H15:M16"/>
    <mergeCell ref="I54:K54"/>
    <mergeCell ref="D45:M45"/>
    <mergeCell ref="E49:M49"/>
    <mergeCell ref="D27:M27"/>
    <mergeCell ref="D39:M39"/>
    <mergeCell ref="D41:M41"/>
    <mergeCell ref="F43:M43"/>
    <mergeCell ref="D36:M36"/>
    <mergeCell ref="H30:L30"/>
    <mergeCell ref="H32:I32"/>
    <mergeCell ref="D22:M22"/>
    <mergeCell ref="D2:M2"/>
    <mergeCell ref="R2:AA2"/>
    <mergeCell ref="D3:M3"/>
    <mergeCell ref="R3:AA3"/>
    <mergeCell ref="H6:L6"/>
    <mergeCell ref="V6:Z6"/>
    <mergeCell ref="H8:I8"/>
    <mergeCell ref="V8:W8"/>
    <mergeCell ref="D13:M13"/>
    <mergeCell ref="R13:AA13"/>
    <mergeCell ref="D19:M19"/>
    <mergeCell ref="R19:AA19"/>
    <mergeCell ref="V15:AA16"/>
    <mergeCell ref="R17:AA18"/>
  </mergeCells>
  <dataValidations count="6">
    <dataValidation type="list" allowBlank="1" showInputMessage="1" showErrorMessage="1" sqref="E21 S21 E43 Y23" xr:uid="{6320F619-1E44-4D1C-BC92-6967AE113380}">
      <formula1>$B$1:$B$2</formula1>
    </dataValidation>
    <dataValidation type="textLength" operator="lessThanOrEqual" allowBlank="1" showInputMessage="1" showErrorMessage="1" sqref="N49" xr:uid="{EBB3DC20-45F2-496B-9BDD-BECE238DFB8C}">
      <formula1>X$6</formula1>
    </dataValidation>
    <dataValidation type="textLength" operator="lessThanOrEqual" allowBlank="1" showInputMessage="1" showErrorMessage="1" sqref="E49:M49" xr:uid="{7BF0FB3B-5EE2-400A-8FCF-D13F580BFF48}">
      <formula1>O4</formula1>
    </dataValidation>
    <dataValidation type="list" allowBlank="1" showInputMessage="1" showErrorMessage="1" sqref="I54:K54" xr:uid="{6D7D54E1-673B-4C35-A31D-E99CE4ACD21D}">
      <formula1>O6:O7</formula1>
    </dataValidation>
    <dataValidation type="list" operator="greaterThanOrEqual" showInputMessage="1" showErrorMessage="1" sqref="G15 U15" xr:uid="{181BEA5D-C3EA-4016-B291-3522C88E6ED9}">
      <formula1>$B$1:$B$2</formula1>
    </dataValidation>
    <dataValidation type="whole" operator="greaterThan" allowBlank="1" showInputMessage="1" showErrorMessage="1" sqref="I55" xr:uid="{27E16D9F-2E6E-4E61-ACF2-E42DFED0EEC3}">
      <formula1>0</formula1>
    </dataValidation>
  </dataValidations>
  <pageMargins left="0.7" right="0.7" top="0.75" bottom="0.75" header="0.3" footer="0.3"/>
  <pageSetup scale="71" orientation="portrait" r:id="rId1"/>
  <headerFooter>
    <oddFooter>&amp;CTab: &amp;A&amp;RPrint Date: &amp;D</oddFooter>
  </headerFooter>
  <rowBreaks count="1" manualBreakCount="1">
    <brk id="24" min="1" max="12"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dimension ref="B1:Z24"/>
  <sheetViews>
    <sheetView showGridLines="0" view="pageBreakPreview" zoomScaleNormal="100" zoomScaleSheetLayoutView="100" workbookViewId="0">
      <selection activeCell="E18" sqref="E18"/>
    </sheetView>
  </sheetViews>
  <sheetFormatPr defaultColWidth="9.109375" defaultRowHeight="15.6" x14ac:dyDescent="0.3"/>
  <cols>
    <col min="1" max="1" width="3.5546875" style="1" customWidth="1"/>
    <col min="2" max="3" width="9.109375" style="28" hidden="1" customWidth="1"/>
    <col min="4" max="5" width="4.88671875" style="1" customWidth="1"/>
    <col min="6" max="13" width="12.44140625" style="1" customWidth="1"/>
    <col min="14" max="14" width="3.5546875" style="1" customWidth="1"/>
    <col min="15" max="16" width="9.109375" style="28" hidden="1" customWidth="1"/>
    <col min="17" max="18" width="4.88671875" style="1" customWidth="1"/>
    <col min="19" max="26" width="12.44140625" style="1" customWidth="1"/>
    <col min="27" max="16384" width="9.109375" style="1"/>
  </cols>
  <sheetData>
    <row r="1" spans="3:26" x14ac:dyDescent="0.3">
      <c r="N1" s="50"/>
    </row>
    <row r="2" spans="3:26" x14ac:dyDescent="0.3">
      <c r="D2" s="410" t="s">
        <v>349</v>
      </c>
      <c r="E2" s="410"/>
      <c r="F2" s="410"/>
      <c r="G2" s="410"/>
      <c r="H2" s="410"/>
      <c r="I2" s="410"/>
      <c r="J2" s="410"/>
      <c r="K2" s="410"/>
      <c r="L2" s="410"/>
      <c r="M2" s="410"/>
      <c r="N2" s="50"/>
      <c r="Q2" s="410" t="s">
        <v>349</v>
      </c>
      <c r="R2" s="410"/>
      <c r="S2" s="410"/>
      <c r="T2" s="410"/>
      <c r="U2" s="410"/>
      <c r="V2" s="410"/>
      <c r="W2" s="410"/>
      <c r="X2" s="410"/>
      <c r="Y2" s="410"/>
      <c r="Z2" s="410"/>
    </row>
    <row r="3" spans="3:26" ht="16.2" thickBot="1" x14ac:dyDescent="0.35">
      <c r="D3" s="411" t="s">
        <v>53</v>
      </c>
      <c r="E3" s="411"/>
      <c r="F3" s="411"/>
      <c r="G3" s="411"/>
      <c r="H3" s="411"/>
      <c r="I3" s="411"/>
      <c r="J3" s="411"/>
      <c r="K3" s="411"/>
      <c r="L3" s="411"/>
      <c r="M3" s="411"/>
      <c r="N3" s="50"/>
      <c r="Q3" s="411" t="s">
        <v>54</v>
      </c>
      <c r="R3" s="411"/>
      <c r="S3" s="411"/>
      <c r="T3" s="411"/>
      <c r="U3" s="411"/>
      <c r="V3" s="411"/>
      <c r="W3" s="411"/>
      <c r="X3" s="411"/>
      <c r="Y3" s="411"/>
      <c r="Z3" s="411"/>
    </row>
    <row r="4" spans="3:26" x14ac:dyDescent="0.3">
      <c r="D4" s="2"/>
      <c r="E4" s="2"/>
      <c r="F4" s="2"/>
      <c r="G4" s="2"/>
      <c r="H4" s="2"/>
      <c r="I4" s="2"/>
      <c r="J4" s="2"/>
      <c r="K4" s="2"/>
      <c r="L4" s="2"/>
      <c r="M4" s="2"/>
      <c r="N4" s="50"/>
      <c r="Q4" s="2"/>
      <c r="R4" s="2"/>
      <c r="S4" s="2"/>
      <c r="T4" s="2"/>
      <c r="U4" s="2"/>
      <c r="V4" s="2"/>
      <c r="W4" s="2"/>
      <c r="X4" s="2"/>
      <c r="Y4" s="2"/>
      <c r="Z4" s="2"/>
    </row>
    <row r="5" spans="3:26" x14ac:dyDescent="0.3">
      <c r="D5" s="2"/>
      <c r="E5" s="2"/>
      <c r="G5" s="56" t="s">
        <v>0</v>
      </c>
      <c r="H5" s="21" t="str">
        <f>IF(Summary!$E$5="","",Summary!$E$5)</f>
        <v/>
      </c>
      <c r="I5" s="86"/>
      <c r="J5" s="86"/>
      <c r="K5" s="86"/>
      <c r="L5" s="86"/>
      <c r="M5" s="2"/>
      <c r="N5" s="50"/>
      <c r="Q5" s="2"/>
      <c r="R5" s="2"/>
      <c r="T5" s="56" t="s">
        <v>0</v>
      </c>
      <c r="U5" s="21" t="str">
        <f>IF(Summary!$S$5="","",Summary!$S$5)</f>
        <v/>
      </c>
      <c r="V5" s="86"/>
      <c r="W5" s="86"/>
      <c r="X5" s="86"/>
      <c r="Y5" s="86"/>
      <c r="Z5" s="2"/>
    </row>
    <row r="6" spans="3:26" x14ac:dyDescent="0.3">
      <c r="G6" s="56" t="s">
        <v>1</v>
      </c>
      <c r="H6" s="515" t="str">
        <f>IF(Summary!E6="","",Summary!E6)</f>
        <v/>
      </c>
      <c r="I6" s="516"/>
      <c r="J6" s="516"/>
      <c r="K6" s="516"/>
      <c r="L6" s="517"/>
      <c r="N6" s="50"/>
      <c r="T6" s="56" t="s">
        <v>1</v>
      </c>
      <c r="U6" s="515" t="str">
        <f>IF(Summary!$S6="","",Summary!$S6)</f>
        <v/>
      </c>
      <c r="V6" s="516"/>
      <c r="W6" s="516"/>
      <c r="X6" s="516"/>
      <c r="Y6" s="517"/>
    </row>
    <row r="7" spans="3:26" x14ac:dyDescent="0.3">
      <c r="G7" s="56"/>
      <c r="H7" s="182"/>
      <c r="I7" s="182"/>
      <c r="J7" s="86"/>
      <c r="K7" s="86"/>
      <c r="L7" s="86"/>
      <c r="N7" s="50"/>
      <c r="T7" s="56"/>
      <c r="U7" s="182"/>
      <c r="V7" s="182"/>
      <c r="W7" s="86"/>
      <c r="X7" s="86"/>
      <c r="Y7" s="86"/>
    </row>
    <row r="8" spans="3:26" x14ac:dyDescent="0.3">
      <c r="G8" s="56" t="s">
        <v>48</v>
      </c>
      <c r="H8" s="518" t="str">
        <f>IF(Summary!E8="","",Summary!E8)</f>
        <v/>
      </c>
      <c r="I8" s="518"/>
      <c r="J8" s="86"/>
      <c r="K8" s="86"/>
      <c r="L8" s="86"/>
      <c r="N8" s="50"/>
      <c r="T8" s="56" t="s">
        <v>48</v>
      </c>
      <c r="U8" s="526" t="str">
        <f>IF(Summary!$S8="","",Summary!$S8)</f>
        <v/>
      </c>
      <c r="V8" s="527"/>
      <c r="W8" s="86"/>
      <c r="X8" s="86"/>
      <c r="Y8" s="86"/>
    </row>
    <row r="9" spans="3:26" x14ac:dyDescent="0.3">
      <c r="G9" s="56"/>
      <c r="H9" s="84"/>
      <c r="I9" s="84"/>
      <c r="J9" s="86"/>
      <c r="K9" s="86"/>
      <c r="L9" s="86"/>
      <c r="N9" s="50"/>
      <c r="T9" s="56"/>
      <c r="U9" s="84"/>
      <c r="V9" s="84"/>
      <c r="W9" s="86"/>
      <c r="X9" s="86"/>
      <c r="Y9" s="86"/>
    </row>
    <row r="10" spans="3:26" x14ac:dyDescent="0.3">
      <c r="G10" s="56" t="s">
        <v>45</v>
      </c>
      <c r="H10" s="23">
        <f>SUM(D18)</f>
        <v>0</v>
      </c>
      <c r="I10" s="84"/>
      <c r="J10" s="86"/>
      <c r="K10" s="86"/>
      <c r="L10" s="86"/>
      <c r="N10" s="50"/>
      <c r="T10" s="56" t="s">
        <v>46</v>
      </c>
      <c r="U10" s="23">
        <f>SUM(Q18)</f>
        <v>0</v>
      </c>
      <c r="V10" s="84"/>
      <c r="W10" s="86"/>
      <c r="X10" s="86"/>
      <c r="Y10" s="86"/>
    </row>
    <row r="11" spans="3:26" ht="16.2" thickBot="1" x14ac:dyDescent="0.35">
      <c r="D11" s="3"/>
      <c r="E11" s="3"/>
      <c r="F11" s="3"/>
      <c r="G11" s="3"/>
      <c r="H11" s="3"/>
      <c r="I11" s="3"/>
      <c r="J11" s="3"/>
      <c r="K11" s="3"/>
      <c r="L11" s="3"/>
      <c r="M11" s="3"/>
      <c r="N11" s="50"/>
      <c r="Q11" s="3"/>
      <c r="R11" s="3"/>
      <c r="S11" s="3"/>
      <c r="T11" s="3"/>
      <c r="U11" s="3"/>
      <c r="V11" s="3"/>
      <c r="W11" s="3"/>
      <c r="X11" s="3"/>
      <c r="Y11" s="3"/>
      <c r="Z11" s="3"/>
    </row>
    <row r="12" spans="3:26" x14ac:dyDescent="0.3">
      <c r="N12" s="50"/>
    </row>
    <row r="13" spans="3:26" ht="73.5" customHeight="1" x14ac:dyDescent="0.3">
      <c r="D13" s="434" t="s">
        <v>505</v>
      </c>
      <c r="E13" s="434"/>
      <c r="F13" s="434"/>
      <c r="G13" s="434"/>
      <c r="H13" s="434"/>
      <c r="I13" s="434"/>
      <c r="J13" s="434"/>
      <c r="K13" s="434"/>
      <c r="L13" s="434"/>
      <c r="M13" s="434"/>
      <c r="N13" s="50"/>
      <c r="Q13" s="434" t="s">
        <v>505</v>
      </c>
      <c r="R13" s="434"/>
      <c r="S13" s="434"/>
      <c r="T13" s="434"/>
      <c r="U13" s="434"/>
      <c r="V13" s="434"/>
      <c r="W13" s="434"/>
      <c r="X13" s="434"/>
      <c r="Y13" s="434"/>
      <c r="Z13" s="434"/>
    </row>
    <row r="14" spans="3:26" ht="18" customHeight="1" x14ac:dyDescent="0.3">
      <c r="D14" s="434" t="s">
        <v>663</v>
      </c>
      <c r="E14" s="434"/>
      <c r="F14" s="434"/>
      <c r="G14" s="434"/>
      <c r="H14" s="434"/>
      <c r="I14" s="434"/>
      <c r="J14" s="434"/>
      <c r="K14" s="434"/>
      <c r="L14" s="434"/>
      <c r="M14" s="434"/>
      <c r="N14" s="50"/>
      <c r="Q14" s="434" t="s">
        <v>663</v>
      </c>
      <c r="R14" s="434"/>
      <c r="S14" s="434"/>
      <c r="T14" s="434"/>
      <c r="U14" s="434"/>
      <c r="V14" s="434"/>
      <c r="W14" s="434"/>
      <c r="X14" s="434"/>
      <c r="Y14" s="434"/>
      <c r="Z14" s="434"/>
    </row>
    <row r="15" spans="3:26" x14ac:dyDescent="0.3">
      <c r="C15" s="28" t="s">
        <v>3</v>
      </c>
      <c r="N15" s="50"/>
      <c r="P15" s="28" t="s">
        <v>3</v>
      </c>
    </row>
    <row r="16" spans="3:26" ht="16.2" thickBot="1" x14ac:dyDescent="0.35">
      <c r="D16" s="407" t="s">
        <v>549</v>
      </c>
      <c r="E16" s="407"/>
      <c r="F16" s="407"/>
      <c r="G16" s="407"/>
      <c r="H16" s="407"/>
      <c r="I16" s="407"/>
      <c r="J16" s="407"/>
      <c r="K16" s="407"/>
      <c r="L16" s="407"/>
      <c r="M16" s="407"/>
      <c r="N16" s="50"/>
      <c r="Q16" s="407" t="s">
        <v>549</v>
      </c>
      <c r="R16" s="407"/>
      <c r="S16" s="407"/>
      <c r="T16" s="407"/>
      <c r="U16" s="407"/>
      <c r="V16" s="407"/>
      <c r="W16" s="407"/>
      <c r="X16" s="407"/>
      <c r="Y16" s="407"/>
      <c r="Z16" s="407"/>
    </row>
    <row r="17" spans="2:26" x14ac:dyDescent="0.3">
      <c r="B17" s="74"/>
      <c r="C17" s="74" t="s">
        <v>52</v>
      </c>
      <c r="F17" s="7"/>
      <c r="G17" s="7"/>
      <c r="H17" s="7"/>
      <c r="I17" s="7"/>
      <c r="J17" s="7"/>
      <c r="K17" s="7"/>
      <c r="L17" s="7"/>
      <c r="M17" s="7"/>
      <c r="N17" s="50"/>
      <c r="O17" s="74"/>
      <c r="P17" s="74" t="s">
        <v>52</v>
      </c>
      <c r="S17" s="7"/>
      <c r="T17" s="7"/>
      <c r="U17" s="7"/>
      <c r="V17" s="7"/>
      <c r="W17" s="7"/>
      <c r="X17" s="7"/>
      <c r="Y17" s="7"/>
      <c r="Z17" s="7"/>
    </row>
    <row r="18" spans="2:26" ht="30.75" customHeight="1" x14ac:dyDescent="0.3">
      <c r="C18" s="28">
        <v>2</v>
      </c>
      <c r="D18" s="167" t="str">
        <f>IF(E18="X",C18,"")</f>
        <v/>
      </c>
      <c r="E18" s="27"/>
      <c r="F18" s="444" t="s">
        <v>152</v>
      </c>
      <c r="G18" s="444"/>
      <c r="H18" s="444"/>
      <c r="I18" s="444"/>
      <c r="J18" s="444"/>
      <c r="K18" s="444"/>
      <c r="L18" s="444"/>
      <c r="M18" s="444"/>
      <c r="N18" s="50"/>
      <c r="P18" s="28">
        <v>2</v>
      </c>
      <c r="Q18" s="167" t="str">
        <f>IF(R18="X",P18,"")</f>
        <v/>
      </c>
      <c r="R18" s="77"/>
      <c r="S18" s="444" t="s">
        <v>152</v>
      </c>
      <c r="T18" s="444"/>
      <c r="U18" s="444"/>
      <c r="V18" s="444"/>
      <c r="W18" s="444"/>
      <c r="X18" s="444"/>
      <c r="Y18" s="444"/>
      <c r="Z18" s="444"/>
    </row>
    <row r="19" spans="2:26" ht="15" customHeight="1" x14ac:dyDescent="0.3">
      <c r="B19" s="29"/>
      <c r="F19" s="8"/>
      <c r="N19" s="50"/>
      <c r="O19" s="29"/>
      <c r="S19" s="8"/>
    </row>
    <row r="20" spans="2:26" s="8" customFormat="1" ht="15" customHeight="1" x14ac:dyDescent="0.3">
      <c r="B20" s="28"/>
      <c r="C20" s="28"/>
      <c r="O20" s="28"/>
      <c r="P20" s="28"/>
    </row>
    <row r="21" spans="2:26" s="8" customFormat="1" ht="15" customHeight="1" x14ac:dyDescent="0.3">
      <c r="B21" s="28"/>
      <c r="C21" s="28"/>
      <c r="O21" s="28"/>
      <c r="P21" s="28"/>
    </row>
    <row r="22" spans="2:26" s="8" customFormat="1" ht="15" customHeight="1" x14ac:dyDescent="0.3">
      <c r="B22" s="28"/>
      <c r="C22" s="28"/>
      <c r="O22" s="28"/>
      <c r="P22" s="28"/>
    </row>
    <row r="24" spans="2:26" ht="15" customHeight="1" x14ac:dyDescent="0.3">
      <c r="D24" s="9"/>
      <c r="E24" s="9"/>
      <c r="F24" s="7"/>
      <c r="Q24" s="9"/>
      <c r="R24" s="9"/>
      <c r="S24" s="7"/>
    </row>
  </sheetData>
  <sheetProtection algorithmName="SHA-512" hashValue="Q9cfGm/SMKppFSatvqp82eCbcJthUCMWc8Lmb4Q0EEudQQSxS+epX+DiplBLdW9v6qlrqVFncJm2X7YP3sTZyA==" saltValue="hco6ohQbnUnWcS2Wne3ttg==" spinCount="100000" sheet="1" objects="1" scenarios="1" selectLockedCells="1"/>
  <mergeCells count="16">
    <mergeCell ref="D16:M16"/>
    <mergeCell ref="Q16:Z16"/>
    <mergeCell ref="F18:M18"/>
    <mergeCell ref="S18:Z18"/>
    <mergeCell ref="H8:I8"/>
    <mergeCell ref="U8:V8"/>
    <mergeCell ref="D14:M14"/>
    <mergeCell ref="Q14:Z14"/>
    <mergeCell ref="D13:M13"/>
    <mergeCell ref="Q13:Z13"/>
    <mergeCell ref="D2:M2"/>
    <mergeCell ref="Q2:Z2"/>
    <mergeCell ref="D3:M3"/>
    <mergeCell ref="Q3:Z3"/>
    <mergeCell ref="H6:L6"/>
    <mergeCell ref="U6:Y6"/>
  </mergeCells>
  <dataValidations count="1">
    <dataValidation type="list" allowBlank="1" showInputMessage="1" showErrorMessage="1" sqref="E18 R18" xr:uid="{00000000-0002-0000-1700-000000000000}">
      <formula1>C$14:C$15</formula1>
    </dataValidation>
  </dataValidations>
  <pageMargins left="0.7" right="0.7" top="0.75" bottom="0.75" header="0.3" footer="0.3"/>
  <pageSetup scale="71" orientation="portrait" r:id="rId1"/>
  <headerFooter>
    <oddFooter>&amp;CTab: &amp;A&amp;RPrint Date: &amp;D</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CEEB30-22CA-470D-AEE9-7B2120B4048F}">
  <dimension ref="B1:O27"/>
  <sheetViews>
    <sheetView showGridLines="0" view="pageBreakPreview" zoomScaleNormal="100" zoomScaleSheetLayoutView="100" workbookViewId="0">
      <selection activeCell="G21" sqref="G21"/>
    </sheetView>
  </sheetViews>
  <sheetFormatPr defaultColWidth="9.109375" defaultRowHeight="15.6" x14ac:dyDescent="0.3"/>
  <cols>
    <col min="1" max="1" width="3.5546875" style="1" customWidth="1"/>
    <col min="2" max="3" width="9.109375" style="28" hidden="1" customWidth="1"/>
    <col min="4" max="4" width="1.5546875" style="1" hidden="1" customWidth="1"/>
    <col min="5" max="6" width="9.109375" style="28" hidden="1" customWidth="1"/>
    <col min="7" max="7" width="4.88671875" style="1" customWidth="1"/>
    <col min="8" max="10" width="14.109375" style="1" customWidth="1"/>
    <col min="11" max="11" width="16.5546875" style="1" customWidth="1"/>
    <col min="12" max="15" width="12.44140625" style="1" customWidth="1"/>
    <col min="16" max="16384" width="9.109375" style="1"/>
  </cols>
  <sheetData>
    <row r="1" spans="3:15" x14ac:dyDescent="0.3">
      <c r="D1" s="50"/>
    </row>
    <row r="2" spans="3:15" x14ac:dyDescent="0.3">
      <c r="D2" s="50"/>
      <c r="G2" s="410" t="s">
        <v>327</v>
      </c>
      <c r="H2" s="410"/>
      <c r="I2" s="410"/>
      <c r="J2" s="410"/>
      <c r="K2" s="410"/>
      <c r="L2" s="410"/>
      <c r="M2" s="410"/>
      <c r="N2" s="410"/>
      <c r="O2" s="410"/>
    </row>
    <row r="3" spans="3:15" ht="16.2" thickBot="1" x14ac:dyDescent="0.35">
      <c r="D3" s="50"/>
      <c r="G3" s="411" t="s">
        <v>362</v>
      </c>
      <c r="H3" s="411"/>
      <c r="I3" s="411"/>
      <c r="J3" s="411"/>
      <c r="K3" s="411"/>
      <c r="L3" s="411"/>
      <c r="M3" s="411"/>
      <c r="N3" s="411"/>
      <c r="O3" s="411"/>
    </row>
    <row r="4" spans="3:15" x14ac:dyDescent="0.3">
      <c r="D4" s="50"/>
      <c r="G4" s="2"/>
      <c r="H4" s="2"/>
      <c r="I4" s="2"/>
      <c r="J4" s="2"/>
      <c r="K4" s="2"/>
      <c r="L4" s="2"/>
      <c r="M4" s="2"/>
      <c r="N4" s="2"/>
      <c r="O4" s="2"/>
    </row>
    <row r="5" spans="3:15" x14ac:dyDescent="0.3">
      <c r="D5" s="50"/>
      <c r="G5" s="2"/>
      <c r="I5" s="56" t="s">
        <v>0</v>
      </c>
      <c r="J5" s="21" t="str">
        <f>IF(Summary!$S$5="","",Summary!$S$5)</f>
        <v/>
      </c>
      <c r="K5" s="86"/>
      <c r="L5" s="86"/>
      <c r="M5" s="86"/>
      <c r="N5" s="86"/>
      <c r="O5" s="2"/>
    </row>
    <row r="6" spans="3:15" x14ac:dyDescent="0.3">
      <c r="D6" s="50"/>
      <c r="I6" s="56" t="s">
        <v>1</v>
      </c>
      <c r="J6" s="515" t="str">
        <f>IF(Summary!$S6="","",Summary!$S6)</f>
        <v/>
      </c>
      <c r="K6" s="516"/>
      <c r="L6" s="516"/>
      <c r="M6" s="516"/>
      <c r="N6" s="517"/>
    </row>
    <row r="7" spans="3:15" x14ac:dyDescent="0.3">
      <c r="D7" s="50"/>
      <c r="I7" s="56"/>
      <c r="J7" s="182"/>
      <c r="K7" s="182"/>
      <c r="L7" s="86"/>
      <c r="M7" s="86"/>
      <c r="N7" s="86"/>
    </row>
    <row r="8" spans="3:15" x14ac:dyDescent="0.3">
      <c r="D8" s="50"/>
      <c r="I8" s="56" t="s">
        <v>48</v>
      </c>
      <c r="J8" s="526" t="str">
        <f>IF(Summary!$S8="","",Summary!$S8)</f>
        <v/>
      </c>
      <c r="K8" s="527"/>
      <c r="L8" s="86"/>
      <c r="M8" s="86"/>
      <c r="N8" s="86"/>
    </row>
    <row r="9" spans="3:15" hidden="1" x14ac:dyDescent="0.3">
      <c r="D9" s="50"/>
      <c r="I9" s="56"/>
      <c r="J9" s="84"/>
      <c r="K9" s="84"/>
      <c r="L9" s="86"/>
      <c r="M9" s="86"/>
      <c r="N9" s="86"/>
    </row>
    <row r="10" spans="3:15" hidden="1" x14ac:dyDescent="0.3">
      <c r="D10"/>
      <c r="E10"/>
      <c r="F10"/>
      <c r="G10"/>
      <c r="H10"/>
      <c r="I10"/>
      <c r="J10"/>
      <c r="K10"/>
      <c r="L10"/>
      <c r="M10" s="86"/>
      <c r="N10" s="86"/>
    </row>
    <row r="11" spans="3:15" ht="16.2" thickBot="1" x14ac:dyDescent="0.35">
      <c r="D11" s="50"/>
      <c r="G11" s="3"/>
      <c r="H11" s="3"/>
      <c r="I11" s="3"/>
      <c r="J11" s="3"/>
      <c r="K11" s="3"/>
      <c r="L11" s="3"/>
      <c r="M11" s="3"/>
      <c r="N11" s="3"/>
      <c r="O11" s="3"/>
    </row>
    <row r="12" spans="3:15" x14ac:dyDescent="0.3">
      <c r="D12" s="50"/>
    </row>
    <row r="13" spans="3:15" ht="16.5" customHeight="1" x14ac:dyDescent="0.3">
      <c r="D13" s="50"/>
      <c r="G13" s="434" t="s">
        <v>364</v>
      </c>
      <c r="H13" s="434"/>
      <c r="I13" s="434"/>
      <c r="J13" s="434"/>
      <c r="K13" s="434"/>
      <c r="L13" s="434"/>
      <c r="M13" s="434"/>
      <c r="N13" s="434"/>
      <c r="O13" s="434"/>
    </row>
    <row r="14" spans="3:15" ht="16.5" customHeight="1" x14ac:dyDescent="0.3">
      <c r="D14" s="50"/>
    </row>
    <row r="15" spans="3:15" x14ac:dyDescent="0.3">
      <c r="C15" s="28" t="s">
        <v>3</v>
      </c>
      <c r="D15" s="50"/>
      <c r="F15" s="28" t="s">
        <v>3</v>
      </c>
      <c r="I15" s="56" t="s">
        <v>366</v>
      </c>
      <c r="J15" s="21" t="str">
        <f>IF(Summary!$S15="","",Summary!$S15)</f>
        <v/>
      </c>
      <c r="K15" s="86"/>
      <c r="L15" s="86"/>
      <c r="M15" s="86"/>
      <c r="N15" s="86"/>
    </row>
    <row r="16" spans="3:15" x14ac:dyDescent="0.3">
      <c r="D16" s="50"/>
      <c r="I16" s="56" t="s">
        <v>367</v>
      </c>
      <c r="J16" s="515" t="str">
        <f>IF(Summary!$S16="","",Summary!$S16)</f>
        <v/>
      </c>
      <c r="K16" s="516"/>
      <c r="L16" s="516"/>
      <c r="M16" s="516"/>
      <c r="N16" s="517"/>
    </row>
    <row r="17" spans="2:15" x14ac:dyDescent="0.3">
      <c r="D17" s="50"/>
      <c r="I17" s="56"/>
      <c r="J17" s="86"/>
      <c r="K17" s="86"/>
      <c r="L17" s="86"/>
      <c r="M17" s="86"/>
      <c r="N17" s="86"/>
    </row>
    <row r="18" spans="2:15" x14ac:dyDescent="0.3">
      <c r="D18" s="50"/>
      <c r="I18" s="56" t="s">
        <v>368</v>
      </c>
      <c r="J18" s="515"/>
      <c r="K18" s="516"/>
      <c r="L18" s="516"/>
      <c r="M18" s="516"/>
      <c r="N18" s="517"/>
    </row>
    <row r="19" spans="2:15" ht="16.2" thickBot="1" x14ac:dyDescent="0.35">
      <c r="D19" s="50"/>
      <c r="G19" s="407"/>
      <c r="H19" s="407"/>
      <c r="I19" s="407"/>
      <c r="J19" s="407"/>
      <c r="K19" s="407"/>
      <c r="L19" s="407"/>
      <c r="M19" s="407"/>
      <c r="N19" s="407"/>
      <c r="O19" s="407"/>
    </row>
    <row r="20" spans="2:15" x14ac:dyDescent="0.3">
      <c r="B20" s="74"/>
      <c r="C20" s="74"/>
      <c r="D20" s="50"/>
      <c r="E20" s="74"/>
      <c r="F20" s="74"/>
      <c r="H20" s="7" t="s">
        <v>363</v>
      </c>
      <c r="I20" s="7"/>
      <c r="J20" s="7"/>
      <c r="K20" s="7"/>
      <c r="L20" s="7" t="s">
        <v>365</v>
      </c>
      <c r="M20" s="7"/>
      <c r="N20" s="7"/>
      <c r="O20" s="7"/>
    </row>
    <row r="21" spans="2:15" ht="31.5" customHeight="1" x14ac:dyDescent="0.3">
      <c r="D21" s="50"/>
      <c r="G21" s="77"/>
      <c r="H21" s="447" t="s">
        <v>171</v>
      </c>
      <c r="I21" s="448"/>
      <c r="J21" s="448"/>
      <c r="K21" s="448"/>
      <c r="L21" s="677"/>
      <c r="M21" s="678"/>
      <c r="N21" s="678"/>
      <c r="O21" s="679"/>
    </row>
    <row r="22" spans="2:15" ht="31.5" customHeight="1" x14ac:dyDescent="0.3">
      <c r="B22" s="29"/>
      <c r="D22" s="50"/>
      <c r="E22" s="29"/>
      <c r="G22" s="77"/>
      <c r="H22" s="447" t="s">
        <v>263</v>
      </c>
      <c r="I22" s="448"/>
      <c r="J22" s="448"/>
      <c r="K22" s="448"/>
      <c r="L22" s="447"/>
      <c r="M22" s="448"/>
      <c r="N22" s="448"/>
      <c r="O22" s="449"/>
    </row>
    <row r="23" spans="2:15" s="8" customFormat="1" ht="26.1" customHeight="1" x14ac:dyDescent="0.3">
      <c r="B23" s="28"/>
      <c r="C23" s="28"/>
      <c r="E23" s="28"/>
      <c r="F23" s="28"/>
      <c r="G23" s="77"/>
      <c r="H23" s="447" t="s">
        <v>264</v>
      </c>
      <c r="I23" s="448"/>
      <c r="J23" s="448"/>
      <c r="K23" s="448"/>
      <c r="L23" s="447"/>
      <c r="M23" s="448"/>
      <c r="N23" s="448"/>
      <c r="O23" s="449"/>
    </row>
    <row r="24" spans="2:15" s="8" customFormat="1" ht="26.1" customHeight="1" x14ac:dyDescent="0.3">
      <c r="B24" s="28"/>
      <c r="C24" s="28"/>
      <c r="E24" s="28"/>
      <c r="F24" s="28"/>
      <c r="G24" s="77"/>
      <c r="H24" s="447" t="s">
        <v>172</v>
      </c>
      <c r="I24" s="448"/>
      <c r="J24" s="448"/>
      <c r="K24" s="448"/>
      <c r="L24" s="674"/>
      <c r="M24" s="675"/>
      <c r="N24" s="675"/>
      <c r="O24" s="676"/>
    </row>
    <row r="25" spans="2:15" s="8" customFormat="1" ht="26.1" customHeight="1" x14ac:dyDescent="0.3">
      <c r="B25" s="28"/>
      <c r="C25" s="28"/>
      <c r="E25" s="28"/>
      <c r="F25" s="28"/>
      <c r="G25" s="77"/>
      <c r="H25" s="447" t="s">
        <v>265</v>
      </c>
      <c r="I25" s="448"/>
      <c r="J25" s="448"/>
      <c r="K25" s="448"/>
      <c r="L25" s="447"/>
      <c r="M25" s="448"/>
      <c r="N25" s="448"/>
      <c r="O25" s="449"/>
    </row>
    <row r="27" spans="2:15" ht="15" customHeight="1" x14ac:dyDescent="0.3">
      <c r="G27" s="9"/>
      <c r="H27" s="7"/>
    </row>
  </sheetData>
  <sheetProtection selectLockedCells="1"/>
  <mergeCells count="18">
    <mergeCell ref="G2:O2"/>
    <mergeCell ref="G3:O3"/>
    <mergeCell ref="J6:N6"/>
    <mergeCell ref="G19:O19"/>
    <mergeCell ref="J8:K8"/>
    <mergeCell ref="G13:O13"/>
    <mergeCell ref="L21:O21"/>
    <mergeCell ref="J16:N16"/>
    <mergeCell ref="J18:N18"/>
    <mergeCell ref="H21:K21"/>
    <mergeCell ref="H22:K22"/>
    <mergeCell ref="H23:K23"/>
    <mergeCell ref="H24:K24"/>
    <mergeCell ref="H25:K25"/>
    <mergeCell ref="L22:O22"/>
    <mergeCell ref="L23:O23"/>
    <mergeCell ref="L24:O24"/>
    <mergeCell ref="L25:O25"/>
  </mergeCells>
  <dataValidations count="1">
    <dataValidation type="list" allowBlank="1" showInputMessage="1" showErrorMessage="1" sqref="G21:G25" xr:uid="{257876A0-4041-45B5-B143-CDE7EEE56FEE}">
      <formula1>F$14:F$15</formula1>
    </dataValidation>
  </dataValidations>
  <pageMargins left="0.7" right="0.7" top="0.75" bottom="0.75" header="0.3" footer="0.3"/>
  <pageSetup scale="71" orientation="portrait" r:id="rId1"/>
  <headerFooter>
    <oddFooter>&amp;CTab: &amp;A&amp;RPrint Date: &amp;D</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B1:AD91"/>
  <sheetViews>
    <sheetView showGridLines="0" view="pageBreakPreview" zoomScaleNormal="100" zoomScaleSheetLayoutView="100" workbookViewId="0">
      <selection activeCell="E5" sqref="E5"/>
    </sheetView>
  </sheetViews>
  <sheetFormatPr defaultColWidth="9.109375" defaultRowHeight="15.6" x14ac:dyDescent="0.3"/>
  <cols>
    <col min="1" max="1" width="3.5546875" style="1" customWidth="1"/>
    <col min="2" max="3" width="4.88671875" style="1" customWidth="1"/>
    <col min="4" max="9" width="12.44140625" style="1" customWidth="1"/>
    <col min="10" max="10" width="1.5546875" style="1" customWidth="1"/>
    <col min="11" max="11" width="12.44140625" style="1" customWidth="1"/>
    <col min="12" max="12" width="1.5546875" style="1" customWidth="1"/>
    <col min="13" max="13" width="12.44140625" style="1" customWidth="1"/>
    <col min="14" max="14" width="18.109375" style="30" hidden="1" customWidth="1"/>
    <col min="15" max="15" width="3.5546875" style="1" customWidth="1"/>
    <col min="16" max="17" width="4.88671875" style="1" customWidth="1"/>
    <col min="18" max="23" width="12.44140625" style="1" customWidth="1"/>
    <col min="24" max="24" width="1.5546875" style="1" customWidth="1"/>
    <col min="25" max="25" width="12.44140625" style="1" customWidth="1"/>
    <col min="26" max="26" width="1.5546875" style="1" customWidth="1"/>
    <col min="27" max="27" width="12.44140625" style="1" customWidth="1"/>
    <col min="28" max="28" width="1.5546875" style="1" customWidth="1"/>
    <col min="29" max="29" width="12.44140625" style="1" customWidth="1"/>
    <col min="30" max="30" width="18.44140625" style="30" hidden="1" customWidth="1"/>
    <col min="31" max="31" width="52.6640625" style="1" customWidth="1"/>
    <col min="32" max="16384" width="9.109375" style="1"/>
  </cols>
  <sheetData>
    <row r="1" spans="2:30" x14ac:dyDescent="0.3">
      <c r="O1" s="50"/>
    </row>
    <row r="2" spans="2:30" x14ac:dyDescent="0.3">
      <c r="B2" s="410" t="s">
        <v>64</v>
      </c>
      <c r="C2" s="410"/>
      <c r="D2" s="410"/>
      <c r="E2" s="410"/>
      <c r="F2" s="410"/>
      <c r="G2" s="410"/>
      <c r="H2" s="410"/>
      <c r="I2" s="410"/>
      <c r="J2" s="410"/>
      <c r="K2" s="410"/>
      <c r="L2" s="410"/>
      <c r="M2" s="410"/>
      <c r="O2" s="50"/>
      <c r="P2" s="410" t="s">
        <v>64</v>
      </c>
      <c r="Q2" s="410"/>
      <c r="R2" s="410"/>
      <c r="S2" s="410"/>
      <c r="T2" s="410"/>
      <c r="U2" s="410"/>
      <c r="V2" s="410"/>
      <c r="W2" s="410"/>
      <c r="X2" s="410"/>
      <c r="Y2" s="410"/>
      <c r="Z2" s="410"/>
      <c r="AA2" s="410"/>
      <c r="AB2" s="410"/>
      <c r="AC2" s="410"/>
    </row>
    <row r="3" spans="2:30" ht="16.2" thickBot="1" x14ac:dyDescent="0.35">
      <c r="B3" s="411" t="s">
        <v>53</v>
      </c>
      <c r="C3" s="411"/>
      <c r="D3" s="411"/>
      <c r="E3" s="411"/>
      <c r="F3" s="411"/>
      <c r="G3" s="411"/>
      <c r="H3" s="411"/>
      <c r="I3" s="411"/>
      <c r="J3" s="411"/>
      <c r="K3" s="411"/>
      <c r="L3" s="411"/>
      <c r="M3" s="411"/>
      <c r="N3" s="49" t="s">
        <v>47</v>
      </c>
      <c r="O3" s="50"/>
      <c r="P3" s="411" t="s">
        <v>54</v>
      </c>
      <c r="Q3" s="411"/>
      <c r="R3" s="411"/>
      <c r="S3" s="411"/>
      <c r="T3" s="411"/>
      <c r="U3" s="411"/>
      <c r="V3" s="411"/>
      <c r="W3" s="411"/>
      <c r="X3" s="411"/>
      <c r="Y3" s="411"/>
      <c r="Z3" s="411"/>
      <c r="AA3" s="411"/>
      <c r="AB3" s="411"/>
      <c r="AC3" s="411"/>
    </row>
    <row r="4" spans="2:30" x14ac:dyDescent="0.3">
      <c r="B4" s="2"/>
      <c r="C4" s="2"/>
      <c r="D4" s="2"/>
      <c r="E4" s="2"/>
      <c r="F4" s="2"/>
      <c r="G4" s="2"/>
      <c r="H4" s="2"/>
      <c r="I4" s="2"/>
      <c r="K4" s="2"/>
      <c r="L4" s="2"/>
      <c r="M4" s="2"/>
      <c r="O4" s="50"/>
      <c r="P4" s="2"/>
      <c r="Q4" s="2"/>
      <c r="R4" s="2"/>
      <c r="S4" s="2"/>
      <c r="T4" s="2"/>
      <c r="U4" s="2"/>
      <c r="V4" s="2"/>
      <c r="W4" s="2"/>
      <c r="Y4" s="2"/>
      <c r="AA4" s="2"/>
      <c r="AB4" s="2"/>
      <c r="AC4" s="2"/>
    </row>
    <row r="5" spans="2:30" x14ac:dyDescent="0.3">
      <c r="D5" s="56" t="s">
        <v>0</v>
      </c>
      <c r="E5" s="92"/>
      <c r="F5" s="86"/>
      <c r="G5" s="86"/>
      <c r="H5" s="86"/>
      <c r="I5" s="86"/>
      <c r="K5" s="86"/>
      <c r="L5" s="86"/>
      <c r="N5" s="185"/>
      <c r="O5" s="50"/>
      <c r="R5" s="56" t="s">
        <v>0</v>
      </c>
      <c r="S5" s="190"/>
      <c r="T5" s="86"/>
      <c r="U5" s="86"/>
      <c r="V5" s="86"/>
      <c r="W5" s="86"/>
      <c r="AC5" s="2"/>
      <c r="AD5" s="185"/>
    </row>
    <row r="6" spans="2:30" x14ac:dyDescent="0.3">
      <c r="D6" s="56" t="s">
        <v>1</v>
      </c>
      <c r="E6" s="427"/>
      <c r="F6" s="428"/>
      <c r="G6" s="428"/>
      <c r="H6" s="428"/>
      <c r="I6" s="429"/>
      <c r="K6" s="86"/>
      <c r="L6" s="86"/>
      <c r="N6" s="30" t="s">
        <v>423</v>
      </c>
      <c r="O6" s="50"/>
      <c r="R6" s="56" t="s">
        <v>1</v>
      </c>
      <c r="S6" s="412"/>
      <c r="T6" s="413"/>
      <c r="U6" s="413"/>
      <c r="V6" s="413"/>
      <c r="W6" s="414"/>
      <c r="AD6" s="49"/>
    </row>
    <row r="7" spans="2:30" x14ac:dyDescent="0.3">
      <c r="D7" s="56"/>
      <c r="E7" s="182"/>
      <c r="F7" s="26"/>
      <c r="G7" s="86"/>
      <c r="H7" s="86"/>
      <c r="I7" s="86"/>
      <c r="K7" s="86"/>
      <c r="L7" s="86"/>
      <c r="N7" s="30" t="s">
        <v>424</v>
      </c>
      <c r="O7" s="50"/>
      <c r="R7" s="56"/>
      <c r="S7" s="182"/>
      <c r="T7" s="26"/>
      <c r="U7" s="86"/>
      <c r="V7" s="86"/>
      <c r="W7" s="86"/>
      <c r="AD7" s="49"/>
    </row>
    <row r="8" spans="2:30" x14ac:dyDescent="0.3">
      <c r="D8" s="56" t="s">
        <v>48</v>
      </c>
      <c r="E8" s="425"/>
      <c r="F8" s="426"/>
      <c r="G8" s="86"/>
      <c r="H8" s="86" t="s">
        <v>76</v>
      </c>
      <c r="I8" s="86"/>
      <c r="K8" s="93"/>
      <c r="L8" s="86"/>
      <c r="O8" s="50"/>
      <c r="R8" s="56" t="s">
        <v>48</v>
      </c>
      <c r="S8" s="415"/>
      <c r="T8" s="416"/>
      <c r="U8" s="86"/>
      <c r="V8" s="86" t="s">
        <v>76</v>
      </c>
      <c r="W8" s="86"/>
      <c r="Y8" s="365"/>
    </row>
    <row r="9" spans="2:30" x14ac:dyDescent="0.3">
      <c r="D9" s="56" t="s">
        <v>2</v>
      </c>
      <c r="E9" s="430"/>
      <c r="F9" s="429"/>
      <c r="G9" s="86"/>
      <c r="H9" s="86" t="s">
        <v>109</v>
      </c>
      <c r="I9" s="431"/>
      <c r="J9" s="432"/>
      <c r="K9" s="433"/>
      <c r="L9" s="86"/>
      <c r="O9" s="50"/>
      <c r="R9" s="56" t="s">
        <v>2</v>
      </c>
      <c r="S9" s="417"/>
      <c r="T9" s="414"/>
      <c r="U9" s="86"/>
      <c r="V9" s="86" t="s">
        <v>109</v>
      </c>
      <c r="W9" s="418"/>
      <c r="X9" s="419"/>
      <c r="Y9" s="420"/>
    </row>
    <row r="10" spans="2:30" x14ac:dyDescent="0.3">
      <c r="H10" s="86"/>
      <c r="I10" s="86"/>
      <c r="K10" s="86"/>
      <c r="L10" s="86"/>
      <c r="M10" s="86"/>
      <c r="O10" s="50"/>
      <c r="V10" s="86"/>
      <c r="W10" s="86"/>
      <c r="Y10" s="86"/>
      <c r="AA10" s="86"/>
      <c r="AB10" s="86"/>
    </row>
    <row r="11" spans="2:30" ht="16.2" thickBot="1" x14ac:dyDescent="0.35">
      <c r="B11" s="3"/>
      <c r="C11" s="3"/>
      <c r="D11" s="3"/>
      <c r="E11" s="3"/>
      <c r="F11" s="3"/>
      <c r="G11" s="3"/>
      <c r="H11" s="3"/>
      <c r="I11" s="3"/>
      <c r="J11" s="3"/>
      <c r="K11" s="3"/>
      <c r="L11" s="3"/>
      <c r="M11" s="3"/>
      <c r="N11" s="49" t="s">
        <v>63</v>
      </c>
      <c r="O11" s="50"/>
      <c r="P11" s="3"/>
      <c r="Q11" s="3"/>
      <c r="R11" s="3"/>
      <c r="S11" s="3"/>
      <c r="T11" s="3"/>
      <c r="U11" s="3"/>
      <c r="V11" s="3"/>
      <c r="W11" s="3"/>
      <c r="X11" s="3"/>
      <c r="Y11" s="3"/>
      <c r="Z11" s="3"/>
      <c r="AA11" s="3"/>
      <c r="AB11" s="3"/>
      <c r="AC11" s="3"/>
      <c r="AD11" s="49" t="s">
        <v>63</v>
      </c>
    </row>
    <row r="12" spans="2:30" ht="18" x14ac:dyDescent="0.35">
      <c r="B12" s="110"/>
      <c r="N12" s="49"/>
      <c r="O12" s="50"/>
      <c r="P12" s="110"/>
      <c r="AD12" s="49"/>
    </row>
    <row r="13" spans="2:30" x14ac:dyDescent="0.3">
      <c r="N13" s="30" t="s">
        <v>99</v>
      </c>
      <c r="O13" s="50"/>
      <c r="AD13" s="30" t="s">
        <v>99</v>
      </c>
    </row>
    <row r="14" spans="2:30" x14ac:dyDescent="0.3">
      <c r="N14" s="30" t="s">
        <v>100</v>
      </c>
      <c r="O14" s="50"/>
      <c r="AD14" s="30" t="s">
        <v>100</v>
      </c>
    </row>
    <row r="15" spans="2:30" x14ac:dyDescent="0.3">
      <c r="N15" s="30" t="s">
        <v>101</v>
      </c>
      <c r="O15" s="50"/>
      <c r="AD15" s="30" t="s">
        <v>101</v>
      </c>
    </row>
    <row r="16" spans="2:30" ht="16.2" thickBot="1" x14ac:dyDescent="0.35">
      <c r="B16" s="407" t="s">
        <v>55</v>
      </c>
      <c r="C16" s="407"/>
      <c r="D16" s="407"/>
      <c r="E16" s="407"/>
      <c r="F16" s="407"/>
      <c r="G16" s="407"/>
      <c r="H16" s="407"/>
      <c r="I16" s="407"/>
      <c r="J16" s="407"/>
      <c r="K16" s="407"/>
      <c r="L16" s="407"/>
      <c r="M16" s="407"/>
      <c r="N16" s="1"/>
      <c r="O16" s="50"/>
      <c r="P16" s="407" t="s">
        <v>55</v>
      </c>
      <c r="Q16" s="407"/>
      <c r="R16" s="407"/>
      <c r="S16" s="407"/>
      <c r="T16" s="407"/>
      <c r="U16" s="407"/>
      <c r="V16" s="407"/>
      <c r="W16" s="407"/>
      <c r="X16" s="407"/>
      <c r="Y16" s="407"/>
      <c r="Z16" s="407"/>
      <c r="AA16" s="407"/>
      <c r="AB16" s="407"/>
      <c r="AC16" s="407"/>
    </row>
    <row r="17" spans="2:29" s="1" customFormat="1" x14ac:dyDescent="0.3">
      <c r="D17" s="7"/>
      <c r="E17" s="7"/>
      <c r="F17" s="7"/>
      <c r="G17" s="7"/>
      <c r="H17" s="7"/>
      <c r="I17" s="7"/>
      <c r="K17" s="7"/>
      <c r="L17" s="7"/>
      <c r="M17" s="7"/>
      <c r="N17" s="41" t="s">
        <v>108</v>
      </c>
      <c r="O17" s="50"/>
      <c r="R17" s="7"/>
      <c r="S17" s="7"/>
      <c r="T17" s="7"/>
      <c r="U17" s="7"/>
      <c r="V17" s="7"/>
      <c r="W17" s="7"/>
      <c r="Y17" s="7"/>
      <c r="AA17" s="7"/>
      <c r="AB17" s="7"/>
      <c r="AC17" s="7"/>
    </row>
    <row r="18" spans="2:29" s="1" customFormat="1" x14ac:dyDescent="0.3">
      <c r="B18" s="9"/>
      <c r="D18" s="7"/>
      <c r="E18" s="7"/>
      <c r="F18" s="7"/>
      <c r="G18" s="7"/>
      <c r="H18" s="7"/>
      <c r="I18" s="168" t="s">
        <v>71</v>
      </c>
      <c r="K18" s="22" t="s">
        <v>50</v>
      </c>
      <c r="L18" s="22"/>
      <c r="M18" s="168" t="s">
        <v>63</v>
      </c>
      <c r="N18" s="41"/>
      <c r="O18" s="50"/>
      <c r="P18" s="9"/>
      <c r="R18" s="7"/>
      <c r="S18" s="7"/>
      <c r="T18" s="7"/>
      <c r="U18" s="7"/>
      <c r="V18" s="7"/>
      <c r="W18" s="168" t="s">
        <v>71</v>
      </c>
      <c r="Y18" s="22" t="s">
        <v>50</v>
      </c>
      <c r="AA18" s="22" t="s">
        <v>51</v>
      </c>
      <c r="AB18" s="22"/>
      <c r="AC18" s="168" t="s">
        <v>133</v>
      </c>
    </row>
    <row r="19" spans="2:29" s="1" customFormat="1" x14ac:dyDescent="0.3">
      <c r="D19" s="7"/>
      <c r="E19" s="7"/>
      <c r="F19" s="7"/>
      <c r="G19" s="7"/>
      <c r="H19" s="7"/>
      <c r="K19" s="7"/>
      <c r="L19" s="7"/>
      <c r="N19" s="40" t="s">
        <v>24</v>
      </c>
      <c r="O19" s="50"/>
      <c r="R19" s="7"/>
      <c r="S19" s="7"/>
      <c r="T19" s="7"/>
      <c r="U19" s="7"/>
      <c r="V19" s="7"/>
      <c r="Y19" s="7"/>
      <c r="AA19" s="7"/>
      <c r="AB19" s="7"/>
    </row>
    <row r="20" spans="2:29" s="1" customFormat="1" x14ac:dyDescent="0.3">
      <c r="B20" s="9" t="s">
        <v>90</v>
      </c>
      <c r="D20" s="7"/>
      <c r="E20" s="7"/>
      <c r="F20" s="7"/>
      <c r="G20" s="7"/>
      <c r="H20" s="7"/>
      <c r="I20" s="20">
        <f>SUM(I22:I25)</f>
        <v>15</v>
      </c>
      <c r="K20" s="75">
        <f>SUM(K22:K25)</f>
        <v>0</v>
      </c>
      <c r="L20" s="7"/>
      <c r="N20" s="40" t="s">
        <v>137</v>
      </c>
      <c r="O20" s="50"/>
      <c r="P20" s="9" t="s">
        <v>90</v>
      </c>
      <c r="R20" s="7"/>
      <c r="S20" s="7"/>
      <c r="T20" s="7"/>
      <c r="U20" s="7"/>
      <c r="V20" s="7"/>
      <c r="W20" s="20">
        <f>SUM(W22:W25)</f>
        <v>15</v>
      </c>
      <c r="Y20" s="75">
        <f>SUM(Y22:Y25)</f>
        <v>0</v>
      </c>
      <c r="AA20" s="75">
        <f>SUM(AA22:AA25)</f>
        <v>0</v>
      </c>
      <c r="AB20" s="7"/>
      <c r="AC20" s="341" t="str">
        <f>IF(Y20-AA20=0,"",Y20-AA20)</f>
        <v/>
      </c>
    </row>
    <row r="21" spans="2:29" s="1" customFormat="1" x14ac:dyDescent="0.3">
      <c r="D21" s="7"/>
      <c r="E21" s="7"/>
      <c r="F21" s="7"/>
      <c r="G21" s="7"/>
      <c r="H21" s="7"/>
      <c r="K21" s="7"/>
      <c r="L21" s="7"/>
      <c r="N21" s="14" t="s">
        <v>27</v>
      </c>
      <c r="O21" s="50"/>
      <c r="R21" s="7"/>
      <c r="S21" s="7"/>
      <c r="T21" s="7"/>
      <c r="U21" s="7"/>
      <c r="V21" s="7"/>
      <c r="Y21" s="7"/>
      <c r="AA21" s="7"/>
      <c r="AB21" s="7"/>
    </row>
    <row r="22" spans="2:29" s="1" customFormat="1" x14ac:dyDescent="0.3">
      <c r="B22" s="19" t="s">
        <v>127</v>
      </c>
      <c r="D22" s="7"/>
      <c r="E22" s="7"/>
      <c r="F22" s="7"/>
      <c r="G22" s="7"/>
      <c r="H22" s="7"/>
      <c r="I22" s="5">
        <v>7</v>
      </c>
      <c r="K22" s="96">
        <f>'22A1'!G10</f>
        <v>0</v>
      </c>
      <c r="L22" s="55"/>
      <c r="M22" s="154" t="str">
        <f>IF(K22&gt;0,IF('Scoring Checklist'!C15&gt;='Scoring Checklist'!B15,N$13,N$14),N$15)</f>
        <v>N/A</v>
      </c>
      <c r="N22" s="14" t="s">
        <v>28</v>
      </c>
      <c r="P22" s="19" t="s">
        <v>127</v>
      </c>
      <c r="R22" s="7"/>
      <c r="S22" s="7"/>
      <c r="T22" s="7"/>
      <c r="U22" s="7"/>
      <c r="V22" s="7"/>
      <c r="W22" s="5">
        <v>7</v>
      </c>
      <c r="Y22" s="96">
        <f>K22</f>
        <v>0</v>
      </c>
      <c r="AA22" s="96">
        <f>'22A1'!T10</f>
        <v>0</v>
      </c>
      <c r="AB22" s="55"/>
      <c r="AC22" s="154" t="str">
        <f>IF(Y22-AA22=0,"",Y22-AA22)</f>
        <v/>
      </c>
    </row>
    <row r="23" spans="2:29" s="1" customFormat="1" x14ac:dyDescent="0.3">
      <c r="B23" s="19" t="s">
        <v>335</v>
      </c>
      <c r="D23" s="7"/>
      <c r="E23" s="7"/>
      <c r="F23" s="7"/>
      <c r="G23" s="7"/>
      <c r="H23" s="7"/>
      <c r="I23" s="5">
        <v>3</v>
      </c>
      <c r="K23" s="96">
        <f>'22A2'!G10</f>
        <v>0</v>
      </c>
      <c r="M23" s="154" t="str">
        <f>IF(K23&gt;0,IF('Scoring Checklist'!C20&gt;='Scoring Checklist'!B20,N$13,N$14),N$15)</f>
        <v>N/A</v>
      </c>
      <c r="P23" s="19" t="s">
        <v>335</v>
      </c>
      <c r="R23" s="7"/>
      <c r="S23" s="7"/>
      <c r="T23" s="7"/>
      <c r="U23" s="7"/>
      <c r="V23" s="7"/>
      <c r="W23" s="5">
        <v>3</v>
      </c>
      <c r="Y23" s="96">
        <f t="shared" ref="Y23:Y25" si="0">K23</f>
        <v>0</v>
      </c>
      <c r="AA23" s="96">
        <f>'22A2'!T10</f>
        <v>0</v>
      </c>
      <c r="AB23" s="55"/>
      <c r="AC23" s="154" t="str">
        <f>IF(Y23-AA23=0,"",Y23-AA23)</f>
        <v/>
      </c>
    </row>
    <row r="24" spans="2:29" s="1" customFormat="1" x14ac:dyDescent="0.3">
      <c r="B24" s="19" t="s">
        <v>336</v>
      </c>
      <c r="D24" s="7"/>
      <c r="E24" s="7"/>
      <c r="F24" s="7"/>
      <c r="G24" s="7"/>
      <c r="H24" s="7"/>
      <c r="I24" s="5">
        <v>2</v>
      </c>
      <c r="K24" s="96">
        <f>'22A3'!H10</f>
        <v>0</v>
      </c>
      <c r="L24" s="55"/>
      <c r="M24" s="154" t="str">
        <f>IF(K24&gt;0,IF('Scoring Checklist'!C25='Scoring Checklist'!B25,N$13,N$14),N$15)</f>
        <v>N/A</v>
      </c>
      <c r="N24" s="14"/>
      <c r="P24" s="19" t="s">
        <v>336</v>
      </c>
      <c r="R24" s="7"/>
      <c r="S24" s="7"/>
      <c r="T24" s="7"/>
      <c r="U24" s="7"/>
      <c r="V24" s="7"/>
      <c r="W24" s="5">
        <v>2</v>
      </c>
      <c r="Y24" s="96">
        <f t="shared" si="0"/>
        <v>0</v>
      </c>
      <c r="AA24" s="96">
        <f>'22A3'!U10</f>
        <v>0</v>
      </c>
      <c r="AB24" s="55"/>
      <c r="AC24" s="154" t="str">
        <f>IF(Y24-AA24=0,"",Y24-AA24)</f>
        <v/>
      </c>
    </row>
    <row r="25" spans="2:29" s="1" customFormat="1" x14ac:dyDescent="0.3">
      <c r="B25" s="19" t="s">
        <v>337</v>
      </c>
      <c r="D25" s="7"/>
      <c r="E25" s="7"/>
      <c r="F25" s="7"/>
      <c r="G25" s="7"/>
      <c r="H25" s="7"/>
      <c r="I25" s="5">
        <v>3</v>
      </c>
      <c r="K25" s="96">
        <f>'22A4'!G10</f>
        <v>0</v>
      </c>
      <c r="L25" s="55"/>
      <c r="M25" s="154" t="str">
        <f>IF(K25&gt;0,IF('Scoring Checklist'!C28='Scoring Checklist'!B28,N$13,N$14),N$15)</f>
        <v>N/A</v>
      </c>
      <c r="N25" s="14"/>
      <c r="P25" s="19" t="s">
        <v>337</v>
      </c>
      <c r="R25" s="7"/>
      <c r="S25" s="7"/>
      <c r="T25" s="7"/>
      <c r="U25" s="7"/>
      <c r="V25" s="7"/>
      <c r="W25" s="5">
        <v>3</v>
      </c>
      <c r="Y25" s="96">
        <f t="shared" si="0"/>
        <v>0</v>
      </c>
      <c r="AA25" s="96">
        <f>'22A4'!S10</f>
        <v>0</v>
      </c>
      <c r="AB25" s="55"/>
      <c r="AC25" s="154" t="str">
        <f>IF(Y25-AA25=0,"",Y25-AA25)</f>
        <v/>
      </c>
    </row>
    <row r="26" spans="2:29" s="1" customFormat="1" x14ac:dyDescent="0.3">
      <c r="B26" s="19"/>
      <c r="D26" s="7"/>
      <c r="E26" s="7"/>
      <c r="F26" s="7"/>
      <c r="G26" s="7"/>
      <c r="H26" s="7"/>
      <c r="P26" s="19"/>
      <c r="R26" s="7"/>
      <c r="S26" s="7"/>
      <c r="T26" s="7"/>
      <c r="U26" s="7"/>
      <c r="V26" s="7"/>
      <c r="AB26" s="7"/>
    </row>
    <row r="27" spans="2:29" s="1" customFormat="1" x14ac:dyDescent="0.3">
      <c r="B27" s="9" t="s">
        <v>588</v>
      </c>
      <c r="D27" s="7"/>
      <c r="E27" s="7"/>
      <c r="F27" s="7"/>
      <c r="G27" s="7"/>
      <c r="H27" s="7"/>
      <c r="I27" s="20">
        <f>SUM(I29:I30)</f>
        <v>13</v>
      </c>
      <c r="K27" s="116">
        <f>SUM(K29:K30)</f>
        <v>0</v>
      </c>
      <c r="L27" s="7"/>
      <c r="P27" s="9" t="s">
        <v>588</v>
      </c>
      <c r="R27" s="7"/>
      <c r="S27" s="7"/>
      <c r="T27" s="7"/>
      <c r="U27" s="7"/>
      <c r="V27" s="7"/>
      <c r="W27" s="20">
        <f>SUM(W29:W30)</f>
        <v>13</v>
      </c>
      <c r="Y27" s="75">
        <f>SUM(Y29:Y30)</f>
        <v>0</v>
      </c>
      <c r="AA27" s="75">
        <f>SUM(AA29:AA30)</f>
        <v>0</v>
      </c>
      <c r="AB27" s="7"/>
      <c r="AC27" s="341" t="str">
        <f>IF(Y27-AA27=0,"",Y27-AA27)</f>
        <v/>
      </c>
    </row>
    <row r="28" spans="2:29" s="1" customFormat="1" x14ac:dyDescent="0.3">
      <c r="D28" s="7"/>
      <c r="E28" s="7"/>
      <c r="F28" s="7"/>
      <c r="G28" s="7"/>
      <c r="H28" s="7"/>
      <c r="K28" s="7"/>
      <c r="L28" s="7"/>
      <c r="R28" s="7"/>
      <c r="S28" s="7"/>
      <c r="T28" s="7"/>
      <c r="U28" s="7"/>
      <c r="V28" s="7"/>
      <c r="Y28" s="7"/>
      <c r="AA28" s="7"/>
      <c r="AB28" s="7"/>
    </row>
    <row r="29" spans="2:29" s="1" customFormat="1" x14ac:dyDescent="0.3">
      <c r="B29" s="19" t="s">
        <v>341</v>
      </c>
      <c r="D29" s="7"/>
      <c r="E29" s="7"/>
      <c r="F29" s="7"/>
      <c r="G29" s="7"/>
      <c r="H29" s="7"/>
      <c r="I29" s="5">
        <v>10</v>
      </c>
      <c r="K29" s="117">
        <f>'22B1'!I10</f>
        <v>0</v>
      </c>
      <c r="L29" s="55"/>
      <c r="M29" s="118" t="str">
        <f>IF(K29&gt;0,IF('Scoring Checklist'!C33&gt;='Scoring Checklist'!B33,N$13,N$14),N$15)</f>
        <v>N/A</v>
      </c>
      <c r="P29" s="19" t="s">
        <v>341</v>
      </c>
      <c r="R29" s="7"/>
      <c r="S29" s="7"/>
      <c r="T29" s="7"/>
      <c r="U29" s="7"/>
      <c r="V29" s="7"/>
      <c r="W29" s="5">
        <v>10</v>
      </c>
      <c r="Y29" s="96">
        <f>K29</f>
        <v>0</v>
      </c>
      <c r="AA29" s="96">
        <f>'22B1'!W10</f>
        <v>0</v>
      </c>
      <c r="AB29" s="55"/>
      <c r="AC29" s="154" t="str">
        <f>IF(Y29-AA29=0,"",Y29-AA29)</f>
        <v/>
      </c>
    </row>
    <row r="30" spans="2:29" s="1" customFormat="1" x14ac:dyDescent="0.3">
      <c r="B30" s="19" t="s">
        <v>328</v>
      </c>
      <c r="D30" s="7"/>
      <c r="E30" s="7"/>
      <c r="F30" s="7"/>
      <c r="G30" s="7"/>
      <c r="H30" s="7"/>
      <c r="I30" s="5">
        <v>3</v>
      </c>
      <c r="K30" s="96">
        <f>'22B2'!I10</f>
        <v>0</v>
      </c>
      <c r="L30" s="55"/>
      <c r="M30" s="118" t="str">
        <f>IF(K30&gt;0,IF('Scoring Checklist'!C38&gt;='Scoring Checklist'!B38,N$13,N$14),N$15)</f>
        <v>N/A</v>
      </c>
      <c r="P30" s="19" t="s">
        <v>328</v>
      </c>
      <c r="R30" s="7"/>
      <c r="S30" s="7"/>
      <c r="T30" s="7"/>
      <c r="U30" s="7"/>
      <c r="V30" s="7"/>
      <c r="W30" s="5">
        <v>3</v>
      </c>
      <c r="Y30" s="96">
        <f>K30</f>
        <v>0</v>
      </c>
      <c r="AA30" s="96">
        <f>'22B2'!W10</f>
        <v>0</v>
      </c>
      <c r="AB30" s="7"/>
      <c r="AC30" s="154" t="str">
        <f>IF(Y30-AA30=0,"",Y30-AA30)</f>
        <v/>
      </c>
    </row>
    <row r="31" spans="2:29" s="1" customFormat="1" x14ac:dyDescent="0.3">
      <c r="AB31" s="7"/>
    </row>
    <row r="32" spans="2:29" s="1" customFormat="1" x14ac:dyDescent="0.3">
      <c r="B32" s="9" t="s">
        <v>104</v>
      </c>
      <c r="D32" s="7"/>
      <c r="E32" s="7"/>
      <c r="F32" s="7"/>
      <c r="G32" s="7"/>
      <c r="H32" s="7"/>
      <c r="I32" s="20">
        <f>SUM(I34:I41)-I38-I37</f>
        <v>25</v>
      </c>
      <c r="K32" s="75">
        <f>SUM(K36:K41)</f>
        <v>0</v>
      </c>
      <c r="L32" s="7"/>
      <c r="P32" s="9" t="s">
        <v>104</v>
      </c>
      <c r="R32" s="7"/>
      <c r="S32" s="7"/>
      <c r="T32" s="7"/>
      <c r="U32" s="7"/>
      <c r="V32" s="7"/>
      <c r="W32" s="20">
        <f>SUM(W34:W41)-W38-W37</f>
        <v>25</v>
      </c>
      <c r="Y32" s="75">
        <f>SUM(Y34:Y41)</f>
        <v>0</v>
      </c>
      <c r="AA32" s="75">
        <f>SUM(AA34:AA41)</f>
        <v>0</v>
      </c>
      <c r="AB32" s="7"/>
      <c r="AC32" s="341" t="str">
        <f>IF(Y32-AA32=0,"",Y32-AA32)</f>
        <v/>
      </c>
    </row>
    <row r="33" spans="2:29" s="1" customFormat="1" x14ac:dyDescent="0.3">
      <c r="D33" s="7"/>
      <c r="E33" s="7"/>
      <c r="F33" s="7"/>
      <c r="G33" s="7"/>
      <c r="H33" s="7"/>
      <c r="K33" s="7"/>
      <c r="L33" s="7"/>
      <c r="R33" s="7"/>
      <c r="S33" s="7"/>
      <c r="T33" s="7"/>
      <c r="U33" s="7"/>
      <c r="V33" s="7"/>
      <c r="Y33" s="7"/>
      <c r="AA33" s="7"/>
      <c r="AB33" s="7"/>
    </row>
    <row r="34" spans="2:29" s="1" customFormat="1" x14ac:dyDescent="0.3">
      <c r="B34" s="19" t="s">
        <v>167</v>
      </c>
      <c r="D34" s="7"/>
      <c r="E34" s="7"/>
      <c r="F34" s="7"/>
      <c r="G34" s="7"/>
      <c r="H34" s="7"/>
      <c r="I34" s="5">
        <v>3</v>
      </c>
      <c r="K34" s="114"/>
      <c r="L34" s="7"/>
      <c r="M34" s="119" t="s">
        <v>146</v>
      </c>
      <c r="P34" s="19" t="s">
        <v>167</v>
      </c>
      <c r="R34" s="7"/>
      <c r="S34" s="7"/>
      <c r="T34" s="7"/>
      <c r="U34" s="7"/>
      <c r="V34" s="7"/>
      <c r="W34" s="5">
        <v>3</v>
      </c>
      <c r="Y34" s="115"/>
      <c r="AA34" s="120">
        <f>'22C1'!W10</f>
        <v>0</v>
      </c>
      <c r="AB34" s="7"/>
      <c r="AC34" s="191" t="str">
        <f>IF(Y34-AA34=0,"",Y34-AA34)</f>
        <v/>
      </c>
    </row>
    <row r="35" spans="2:29" s="1" customFormat="1" x14ac:dyDescent="0.3">
      <c r="B35" s="19" t="s">
        <v>120</v>
      </c>
      <c r="D35" s="7"/>
      <c r="E35" s="7"/>
      <c r="F35" s="7"/>
      <c r="G35" s="7"/>
      <c r="H35" s="7"/>
      <c r="I35" s="7"/>
      <c r="K35" s="7"/>
      <c r="L35" s="55"/>
      <c r="M35" s="7"/>
      <c r="P35" s="19" t="s">
        <v>120</v>
      </c>
      <c r="R35" s="7"/>
      <c r="S35" s="7"/>
      <c r="T35" s="7"/>
      <c r="U35" s="7"/>
      <c r="V35" s="7"/>
      <c r="W35" s="7"/>
      <c r="Y35" s="55"/>
      <c r="AA35" s="55"/>
      <c r="AB35" s="55"/>
      <c r="AC35" s="2"/>
    </row>
    <row r="36" spans="2:29" s="1" customFormat="1" x14ac:dyDescent="0.3">
      <c r="B36" s="19"/>
      <c r="C36" s="19" t="s">
        <v>329</v>
      </c>
      <c r="D36" s="7"/>
      <c r="E36" s="7"/>
      <c r="F36" s="7"/>
      <c r="G36" s="7"/>
      <c r="H36" s="7"/>
      <c r="I36" s="421">
        <v>10</v>
      </c>
      <c r="K36" s="161">
        <f>IF(B43="",'22C2a'!H10,"ERROR")</f>
        <v>0</v>
      </c>
      <c r="L36" s="55"/>
      <c r="M36" s="118" t="str">
        <f>IF(K36&gt;0,IF('Scoring Checklist'!C57&gt;='Scoring Checklist'!B57,N$13,N$14),N$15)</f>
        <v>N/A</v>
      </c>
      <c r="P36" s="19"/>
      <c r="Q36" s="19" t="s">
        <v>329</v>
      </c>
      <c r="R36" s="7"/>
      <c r="S36" s="7"/>
      <c r="T36" s="7"/>
      <c r="U36" s="7"/>
      <c r="V36" s="7"/>
      <c r="W36" s="421">
        <v>10</v>
      </c>
      <c r="Y36" s="161">
        <f>K36</f>
        <v>0</v>
      </c>
      <c r="AA36" s="161">
        <f>IF(P43="",'22C2a'!U10,"ERROR")</f>
        <v>0</v>
      </c>
      <c r="AB36" s="55"/>
      <c r="AC36" s="154" t="str">
        <f t="shared" ref="AC36:AC41" si="1">IF(Y36-AA36=0,"",Y36-AA36)</f>
        <v/>
      </c>
    </row>
    <row r="37" spans="2:29" s="1" customFormat="1" x14ac:dyDescent="0.3">
      <c r="B37" s="19"/>
      <c r="C37" s="19" t="s">
        <v>330</v>
      </c>
      <c r="D37" s="7"/>
      <c r="E37" s="7"/>
      <c r="F37" s="7"/>
      <c r="G37" s="7"/>
      <c r="H37" s="7"/>
      <c r="I37" s="422"/>
      <c r="K37" s="161">
        <f>IF(B43="",'22C2b'!H10,"ERROR")</f>
        <v>0</v>
      </c>
      <c r="L37" s="55"/>
      <c r="M37" s="118" t="str">
        <f>IF(K37&gt;0,IF('Scoring Checklist'!C62&gt;='Scoring Checklist'!B62,N$13,N$14),N$15)</f>
        <v>N/A</v>
      </c>
      <c r="P37" s="19"/>
      <c r="Q37" s="19" t="s">
        <v>330</v>
      </c>
      <c r="R37" s="7"/>
      <c r="S37" s="7"/>
      <c r="T37" s="7"/>
      <c r="U37" s="7"/>
      <c r="V37" s="7"/>
      <c r="W37" s="422"/>
      <c r="Y37" s="161">
        <f t="shared" ref="Y37:Y41" si="2">K37</f>
        <v>0</v>
      </c>
      <c r="AA37" s="161">
        <f>IF(P43="",'22C2b'!U10,"ERROR")</f>
        <v>0</v>
      </c>
      <c r="AB37" s="55"/>
      <c r="AC37" s="154" t="str">
        <f t="shared" si="1"/>
        <v/>
      </c>
    </row>
    <row r="38" spans="2:29" s="1" customFormat="1" x14ac:dyDescent="0.3">
      <c r="B38" s="19"/>
      <c r="C38" s="19" t="s">
        <v>562</v>
      </c>
      <c r="D38" s="7"/>
      <c r="E38" s="7"/>
      <c r="F38" s="7"/>
      <c r="G38" s="7"/>
      <c r="H38" s="7"/>
      <c r="I38" s="423"/>
      <c r="K38" s="161">
        <f>IF(B43="",'22C2c'!I10,"ERROR")</f>
        <v>0</v>
      </c>
      <c r="L38" s="55"/>
      <c r="M38" s="118" t="str">
        <f>IF(K38&gt;0,IF('Scoring Checklist'!C65&gt;='Scoring Checklist'!B65,N$13,N$14),N$15)</f>
        <v>N/A</v>
      </c>
      <c r="P38" s="19"/>
      <c r="Q38" s="19" t="s">
        <v>257</v>
      </c>
      <c r="R38" s="7"/>
      <c r="S38" s="7"/>
      <c r="T38" s="7"/>
      <c r="U38" s="7"/>
      <c r="V38" s="7"/>
      <c r="W38" s="423"/>
      <c r="Y38" s="161">
        <f t="shared" si="2"/>
        <v>0</v>
      </c>
      <c r="AA38" s="161">
        <f>IF(P43="",'22C2c'!W10,"ERROR")</f>
        <v>0</v>
      </c>
      <c r="AB38" s="55"/>
      <c r="AC38" s="154" t="str">
        <f t="shared" si="1"/>
        <v/>
      </c>
    </row>
    <row r="39" spans="2:29" s="1" customFormat="1" x14ac:dyDescent="0.3">
      <c r="B39" s="19" t="s">
        <v>340</v>
      </c>
      <c r="D39" s="7"/>
      <c r="E39" s="7"/>
      <c r="F39" s="7"/>
      <c r="G39" s="7"/>
      <c r="H39" s="7"/>
      <c r="I39" s="5">
        <v>5</v>
      </c>
      <c r="K39" s="96">
        <f>'22C3'!H10</f>
        <v>0</v>
      </c>
      <c r="L39" s="55"/>
      <c r="M39" s="154" t="str">
        <f>IF(K39&gt;0,IF('Scoring Checklist'!C70&gt;='Scoring Checklist'!B70,N$13,N$14),N$15)</f>
        <v>N/A</v>
      </c>
      <c r="P39" s="19" t="s">
        <v>340</v>
      </c>
      <c r="R39" s="7"/>
      <c r="S39" s="7"/>
      <c r="T39" s="7"/>
      <c r="U39" s="7"/>
      <c r="V39" s="7"/>
      <c r="W39" s="96">
        <v>5</v>
      </c>
      <c r="Y39" s="96">
        <f t="shared" si="2"/>
        <v>0</v>
      </c>
      <c r="AA39" s="96">
        <f>'22C3'!X10</f>
        <v>0</v>
      </c>
      <c r="AB39" s="55"/>
      <c r="AC39" s="154" t="str">
        <f t="shared" si="1"/>
        <v/>
      </c>
    </row>
    <row r="40" spans="2:29" s="1" customFormat="1" x14ac:dyDescent="0.3">
      <c r="B40" s="19" t="s">
        <v>106</v>
      </c>
      <c r="D40" s="7"/>
      <c r="E40" s="7"/>
      <c r="F40" s="7"/>
      <c r="G40" s="7"/>
      <c r="H40" s="7"/>
      <c r="I40" s="5">
        <v>2</v>
      </c>
      <c r="K40" s="96">
        <f>'22C4'!G10</f>
        <v>0</v>
      </c>
      <c r="L40" s="55"/>
      <c r="M40" s="154" t="str">
        <f>IF(K40&gt;0,IF('Scoring Checklist'!C75&gt;='Scoring Checklist'!B75,N$13,N$14),N$15)</f>
        <v>N/A</v>
      </c>
      <c r="P40" s="19" t="s">
        <v>106</v>
      </c>
      <c r="R40" s="7"/>
      <c r="S40" s="7"/>
      <c r="T40" s="7"/>
      <c r="U40" s="7"/>
      <c r="V40" s="7"/>
      <c r="W40" s="5">
        <v>2</v>
      </c>
      <c r="Y40" s="96">
        <f t="shared" si="2"/>
        <v>0</v>
      </c>
      <c r="AA40" s="96">
        <f>'22C4'!T10</f>
        <v>0</v>
      </c>
      <c r="AB40" s="55"/>
      <c r="AC40" s="154" t="str">
        <f t="shared" si="1"/>
        <v/>
      </c>
    </row>
    <row r="41" spans="2:29" s="1" customFormat="1" x14ac:dyDescent="0.3">
      <c r="B41" s="19" t="s">
        <v>107</v>
      </c>
      <c r="D41" s="7"/>
      <c r="E41" s="7"/>
      <c r="F41" s="7"/>
      <c r="G41" s="7"/>
      <c r="H41" s="7"/>
      <c r="I41" s="5">
        <v>5</v>
      </c>
      <c r="K41" s="117">
        <f>'22C5'!H10</f>
        <v>0</v>
      </c>
      <c r="L41" s="55"/>
      <c r="M41" s="154" t="str">
        <f>IF(K41&gt;0,IF('Scoring Checklist'!C94&gt;='Scoring Checklist'!B94,N$13,N$14),N$15)</f>
        <v>N/A</v>
      </c>
      <c r="P41" s="19" t="s">
        <v>107</v>
      </c>
      <c r="R41" s="7"/>
      <c r="S41" s="7"/>
      <c r="T41" s="7"/>
      <c r="U41" s="7"/>
      <c r="V41" s="7"/>
      <c r="W41" s="5">
        <v>5</v>
      </c>
      <c r="Y41" s="96">
        <f t="shared" si="2"/>
        <v>0</v>
      </c>
      <c r="AA41" s="96">
        <f>'22C5'!AH10</f>
        <v>0</v>
      </c>
      <c r="AB41" s="55"/>
      <c r="AC41" s="154" t="str">
        <f t="shared" si="1"/>
        <v/>
      </c>
    </row>
    <row r="42" spans="2:29" s="1" customFormat="1" ht="15.6" customHeight="1" x14ac:dyDescent="0.3">
      <c r="B42" s="286" t="s">
        <v>515</v>
      </c>
      <c r="C42" s="269"/>
      <c r="D42" s="269"/>
      <c r="E42" s="269"/>
      <c r="F42" s="269"/>
      <c r="G42" s="269"/>
      <c r="H42" s="269"/>
      <c r="I42" s="269"/>
      <c r="J42" s="269"/>
      <c r="K42" s="269"/>
      <c r="L42" s="269"/>
      <c r="M42" s="269"/>
      <c r="P42" s="14"/>
      <c r="AB42" s="7"/>
    </row>
    <row r="43" spans="2:29" s="1" customFormat="1" x14ac:dyDescent="0.3">
      <c r="B43" s="424" t="str">
        <f>IF(OR(AND('22C2a'!H10&lt;&gt;0,'22C2b'!H10&lt;&gt;0),AND('22C2a'!H10&lt;&gt;0,'22C2c'!I10&lt;&gt;0),AND('22C2b'!H10&lt;&gt;0,'22C2c'!I10&lt;&gt;0)),"ERROR: MAY SCORE FOR ONLY ONE OF CATEGORIES C2A, C2B, AND C2C","")</f>
        <v/>
      </c>
      <c r="C43" s="424"/>
      <c r="D43" s="424"/>
      <c r="E43" s="424"/>
      <c r="F43" s="424"/>
      <c r="G43" s="424"/>
      <c r="H43" s="424"/>
      <c r="I43" s="424"/>
      <c r="J43" s="424"/>
      <c r="K43" s="424"/>
      <c r="L43" s="424"/>
      <c r="M43" s="424"/>
      <c r="P43" s="424" t="str">
        <f>IF(OR(AND('22C2a'!U10&lt;&gt;0,'22C2b'!U10&lt;&gt;0),AND('22C2a'!U10&lt;&gt;0,'22C2c'!W10&lt;&gt;0),AND('22C2b'!U10&lt;&gt;0,'22C2c'!W10&lt;&gt;0)),"ERROR: MAY SCORE FOR ONLY ONE OF CATEGORIES C2A, C2B, AND C2C","")</f>
        <v/>
      </c>
      <c r="Q43" s="424"/>
      <c r="R43" s="424"/>
      <c r="S43" s="424"/>
      <c r="T43" s="424"/>
      <c r="U43" s="424"/>
      <c r="V43" s="424"/>
      <c r="W43" s="424"/>
      <c r="X43" s="424"/>
      <c r="Y43" s="424"/>
      <c r="Z43" s="424"/>
      <c r="AA43" s="424"/>
      <c r="AB43" s="7"/>
    </row>
    <row r="44" spans="2:29" s="1" customFormat="1" x14ac:dyDescent="0.3">
      <c r="B44" s="9" t="s">
        <v>91</v>
      </c>
      <c r="D44" s="7"/>
      <c r="E44" s="7"/>
      <c r="F44" s="7"/>
      <c r="G44" s="7"/>
      <c r="H44" s="7"/>
      <c r="I44" s="20">
        <f>SUM(I46:I48)</f>
        <v>15</v>
      </c>
      <c r="K44" s="75">
        <f>SUM(K46:K48)</f>
        <v>0</v>
      </c>
      <c r="L44" s="7"/>
      <c r="P44" s="9" t="s">
        <v>91</v>
      </c>
      <c r="R44" s="7"/>
      <c r="S44" s="7"/>
      <c r="T44" s="7"/>
      <c r="U44" s="7"/>
      <c r="V44" s="7"/>
      <c r="W44" s="20">
        <f>SUM(W46:W48)</f>
        <v>15</v>
      </c>
      <c r="Y44" s="75">
        <f>SUM(Y46:Y48)</f>
        <v>0</v>
      </c>
      <c r="AA44" s="75">
        <f>SUM(AA46:AA48)</f>
        <v>0</v>
      </c>
      <c r="AB44" s="7"/>
      <c r="AC44" s="341" t="str">
        <f>IF(Y44-AA44=0,"",Y44-AA44)</f>
        <v/>
      </c>
    </row>
    <row r="45" spans="2:29" s="1" customFormat="1" x14ac:dyDescent="0.3">
      <c r="D45" s="7"/>
      <c r="E45" s="7"/>
      <c r="F45" s="7"/>
      <c r="G45" s="7"/>
      <c r="H45" s="7"/>
      <c r="K45" s="7"/>
      <c r="L45" s="7"/>
      <c r="R45" s="7"/>
      <c r="S45" s="7"/>
      <c r="T45" s="7"/>
      <c r="U45" s="7"/>
      <c r="V45" s="7"/>
      <c r="Y45" s="7"/>
      <c r="AA45" s="7"/>
      <c r="AB45" s="7"/>
    </row>
    <row r="46" spans="2:29" s="1" customFormat="1" x14ac:dyDescent="0.3">
      <c r="B46" s="19" t="s">
        <v>134</v>
      </c>
      <c r="D46" s="7"/>
      <c r="E46" s="7"/>
      <c r="F46" s="7"/>
      <c r="G46" s="7"/>
      <c r="H46" s="7"/>
      <c r="I46" s="5">
        <v>2</v>
      </c>
      <c r="K46" s="96">
        <f>'22D1'!I10</f>
        <v>0</v>
      </c>
      <c r="L46" s="8"/>
      <c r="M46" s="154" t="str">
        <f>IF(K46&gt;0,IF('Scoring Checklist'!C103&gt;='Scoring Checklist'!B103,N$13,N$14),N$15)</f>
        <v>N/A</v>
      </c>
      <c r="P46" s="19" t="s">
        <v>134</v>
      </c>
      <c r="R46" s="7"/>
      <c r="S46" s="19"/>
      <c r="T46" s="7"/>
      <c r="U46" s="7"/>
      <c r="V46" s="7"/>
      <c r="W46" s="5">
        <v>2</v>
      </c>
      <c r="Y46" s="96">
        <f>K46</f>
        <v>0</v>
      </c>
      <c r="AA46" s="96">
        <f>'22D1'!W10</f>
        <v>0</v>
      </c>
      <c r="AB46" s="55"/>
      <c r="AC46" s="154" t="str">
        <f>IF(Y46-AA46=0,"",Y46-AA46)</f>
        <v/>
      </c>
    </row>
    <row r="47" spans="2:29" s="1" customFormat="1" x14ac:dyDescent="0.3">
      <c r="B47" s="19" t="s">
        <v>331</v>
      </c>
      <c r="D47" s="7"/>
      <c r="E47" s="7"/>
      <c r="F47" s="7"/>
      <c r="G47" s="7"/>
      <c r="H47" s="7"/>
      <c r="I47" s="5">
        <v>10</v>
      </c>
      <c r="K47" s="96">
        <f>'22D2'!I10</f>
        <v>0</v>
      </c>
      <c r="L47" s="55"/>
      <c r="M47" s="154" t="str">
        <f>IF(K47&gt;0,IF('Scoring Checklist'!C109&gt;='Scoring Checklist'!B109,N$13,N$14),N$15)</f>
        <v>N/A</v>
      </c>
      <c r="P47" s="19" t="s">
        <v>331</v>
      </c>
      <c r="R47" s="7"/>
      <c r="S47" s="7"/>
      <c r="T47" s="7"/>
      <c r="U47" s="7"/>
      <c r="V47" s="7"/>
      <c r="W47" s="5">
        <v>10</v>
      </c>
      <c r="Y47" s="96">
        <f t="shared" ref="Y47:Y48" si="3">K47</f>
        <v>0</v>
      </c>
      <c r="AA47" s="96">
        <f>'22D2'!W10</f>
        <v>0</v>
      </c>
      <c r="AB47" s="55"/>
      <c r="AC47" s="154" t="str">
        <f>IF(Y47-AA47=0,"",Y47-AA47)</f>
        <v/>
      </c>
    </row>
    <row r="48" spans="2:29" s="1" customFormat="1" x14ac:dyDescent="0.3">
      <c r="B48" s="19" t="s">
        <v>667</v>
      </c>
      <c r="I48" s="5">
        <v>3</v>
      </c>
      <c r="K48" s="96">
        <f>'22D3'!H10</f>
        <v>0</v>
      </c>
      <c r="L48" s="55"/>
      <c r="M48" s="118" t="str">
        <f>IF(K48&gt;0,IF('Scoring Checklist'!C127&gt;='Scoring Checklist'!B127,N$13,N$14),N$15)</f>
        <v>N/A</v>
      </c>
      <c r="P48" s="19" t="s">
        <v>667</v>
      </c>
      <c r="W48" s="5">
        <v>3</v>
      </c>
      <c r="Y48" s="96">
        <f t="shared" si="3"/>
        <v>0</v>
      </c>
      <c r="AA48" s="96">
        <f>'22D3'!U10</f>
        <v>0</v>
      </c>
      <c r="AB48" s="8"/>
      <c r="AC48" s="154" t="str">
        <f>IF(Y48-AA48=0,"",Y48-AA48)</f>
        <v/>
      </c>
    </row>
    <row r="49" spans="2:30" x14ac:dyDescent="0.3">
      <c r="N49" s="1"/>
      <c r="AB49" s="7"/>
      <c r="AD49" s="1"/>
    </row>
    <row r="50" spans="2:30" x14ac:dyDescent="0.3">
      <c r="B50" s="9" t="s">
        <v>92</v>
      </c>
      <c r="D50" s="8"/>
      <c r="I50" s="6">
        <f>SUM(I53:I56)-I54</f>
        <v>18</v>
      </c>
      <c r="K50" s="76">
        <f>SUM(K53:K56)</f>
        <v>0</v>
      </c>
      <c r="L50" s="9"/>
      <c r="N50" s="1"/>
      <c r="P50" s="9" t="s">
        <v>92</v>
      </c>
      <c r="R50" s="8"/>
      <c r="W50" s="6">
        <f>SUM(W53:W56)-W54</f>
        <v>18</v>
      </c>
      <c r="Y50" s="76">
        <f>SUM(Y53:Y56)</f>
        <v>0</v>
      </c>
      <c r="AA50" s="76">
        <f>SUM(AA53:AA56)</f>
        <v>0</v>
      </c>
      <c r="AB50" s="7"/>
      <c r="AC50" s="341" t="str">
        <f>IF(Y50-AA50=0,"",Y50-AA50)</f>
        <v/>
      </c>
      <c r="AD50" s="1"/>
    </row>
    <row r="51" spans="2:30" ht="15" customHeight="1" x14ac:dyDescent="0.3">
      <c r="B51" s="11" t="str">
        <f>IF('22E1'!$C$32&lt;&gt;"","ERROR: MAY SCORE FOR ONLY ONE OF CATEGORIES E1A AND E1B","")</f>
        <v/>
      </c>
      <c r="D51" s="8"/>
      <c r="N51" s="1"/>
      <c r="P51" s="11" t="str">
        <f>IF('22E1'!$P$32&lt;&gt;"","ERROR: MAY SCORE FOR ONLY ONE OF CATEGORIES E1A AND E1B","")</f>
        <v/>
      </c>
      <c r="R51" s="8"/>
      <c r="AB51" s="7"/>
      <c r="AD51" s="1"/>
    </row>
    <row r="52" spans="2:30" ht="15" customHeight="1" x14ac:dyDescent="0.3">
      <c r="B52" s="19" t="s">
        <v>168</v>
      </c>
      <c r="D52" s="8"/>
      <c r="N52" s="1"/>
      <c r="P52" s="19" t="s">
        <v>168</v>
      </c>
      <c r="R52" s="8"/>
      <c r="AB52" s="7"/>
      <c r="AD52" s="1"/>
    </row>
    <row r="53" spans="2:30" ht="15" customHeight="1" x14ac:dyDescent="0.3">
      <c r="B53" s="138" t="s">
        <v>332</v>
      </c>
      <c r="D53" s="8"/>
      <c r="I53" s="421">
        <v>8</v>
      </c>
      <c r="K53" s="161">
        <f>IF(B51&lt;&gt;"","ERROR",SUM('22E1'!$F$51))</f>
        <v>0</v>
      </c>
      <c r="M53" s="154" t="str">
        <f>IF(K53&gt;0,IF('Scoring Checklist'!C137&gt;='Scoring Checklist'!B137,N$13,N$14),N$15)</f>
        <v>N/A</v>
      </c>
      <c r="N53" s="1"/>
      <c r="P53" s="138" t="s">
        <v>332</v>
      </c>
      <c r="R53" s="8"/>
      <c r="W53" s="421">
        <v>8</v>
      </c>
      <c r="Y53" s="164">
        <f>K53</f>
        <v>0</v>
      </c>
      <c r="AA53" s="164">
        <f>IF(P51&lt;&gt;"","ERROR",SUM('22E1'!S51))</f>
        <v>0</v>
      </c>
      <c r="AB53" s="7"/>
      <c r="AC53" s="154" t="str">
        <f>IF(Y53-AA53=0,"",Y53-AA53)</f>
        <v/>
      </c>
      <c r="AD53" s="1"/>
    </row>
    <row r="54" spans="2:30" ht="15" customHeight="1" x14ac:dyDescent="0.3">
      <c r="B54" s="138" t="s">
        <v>169</v>
      </c>
      <c r="D54" s="8"/>
      <c r="I54" s="423"/>
      <c r="K54" s="164">
        <f>IF($B$51&lt;&gt;"","ERROR",SUM('22E1'!C64:C66))</f>
        <v>0</v>
      </c>
      <c r="L54" s="13"/>
      <c r="M54" s="154" t="str">
        <f>IF(K54&gt;0,IF('Scoring Checklist'!C137&gt;='Scoring Checklist'!B137,N$13,N$14),N$15)</f>
        <v>N/A</v>
      </c>
      <c r="N54" s="1"/>
      <c r="P54" s="138" t="s">
        <v>169</v>
      </c>
      <c r="R54" s="8"/>
      <c r="W54" s="423"/>
      <c r="Y54" s="164">
        <f t="shared" ref="Y54:Y56" si="4">K54</f>
        <v>0</v>
      </c>
      <c r="AA54" s="164">
        <f>IF(P51&lt;&gt;"","ERROR",SUM('22E1'!P64:P66))</f>
        <v>0</v>
      </c>
      <c r="AB54" s="13"/>
      <c r="AC54" s="154" t="str">
        <f>IF(Y54-AA54=0,"",Y54-AA54)</f>
        <v/>
      </c>
    </row>
    <row r="55" spans="2:30" ht="15" customHeight="1" x14ac:dyDescent="0.3">
      <c r="B55" s="19" t="s">
        <v>409</v>
      </c>
      <c r="D55" s="8"/>
      <c r="I55" s="5">
        <v>2</v>
      </c>
      <c r="K55" s="73">
        <f>'22E2'!H10</f>
        <v>0</v>
      </c>
      <c r="M55" s="154" t="str">
        <f>IF(K55&gt;0,IF('Scoring Checklist'!C143&gt;='Scoring Checklist'!B143,N$13,N$14),N$15)</f>
        <v>N/A</v>
      </c>
      <c r="N55" s="1"/>
      <c r="P55" s="19" t="s">
        <v>409</v>
      </c>
      <c r="R55" s="8"/>
      <c r="W55" s="5">
        <v>2</v>
      </c>
      <c r="Y55" s="73">
        <f t="shared" si="4"/>
        <v>0</v>
      </c>
      <c r="AA55" s="73">
        <f>'22E2'!U10</f>
        <v>0</v>
      </c>
      <c r="AB55" s="13"/>
      <c r="AC55" s="154" t="str">
        <f t="shared" ref="AC55:AC56" si="5">IF(Y55-AA55=0,"",Y55-AA55)</f>
        <v/>
      </c>
    </row>
    <row r="56" spans="2:30" ht="15" customHeight="1" x14ac:dyDescent="0.3">
      <c r="B56" s="19" t="s">
        <v>333</v>
      </c>
      <c r="D56" s="8"/>
      <c r="I56" s="5">
        <v>8</v>
      </c>
      <c r="K56" s="73">
        <f>'22E3'!H10</f>
        <v>0</v>
      </c>
      <c r="L56" s="13"/>
      <c r="M56" s="154" t="str">
        <f>IF(K56&gt;0,IF('Scoring Checklist'!C146&gt;='Scoring Checklist'!B146,N$13,N$14),N$15)</f>
        <v>N/A</v>
      </c>
      <c r="N56" s="1"/>
      <c r="P56" s="19" t="s">
        <v>333</v>
      </c>
      <c r="R56" s="8"/>
      <c r="W56" s="5">
        <v>8</v>
      </c>
      <c r="Y56" s="73">
        <f t="shared" si="4"/>
        <v>0</v>
      </c>
      <c r="Z56" s="13"/>
      <c r="AA56" s="164">
        <f>'22E3'!U10</f>
        <v>0</v>
      </c>
      <c r="AB56" s="13"/>
      <c r="AC56" s="154" t="str">
        <f t="shared" si="5"/>
        <v/>
      </c>
    </row>
    <row r="57" spans="2:30" ht="15" customHeight="1" x14ac:dyDescent="0.3">
      <c r="B57" s="19"/>
      <c r="D57" s="8"/>
      <c r="K57" s="13"/>
      <c r="M57" s="2"/>
      <c r="N57" s="1"/>
      <c r="P57" s="19"/>
      <c r="R57" s="8"/>
      <c r="Y57" s="13"/>
      <c r="AA57" s="13"/>
      <c r="AB57" s="7"/>
    </row>
    <row r="58" spans="2:30" ht="15" customHeight="1" x14ac:dyDescent="0.3">
      <c r="B58" s="9" t="s">
        <v>587</v>
      </c>
      <c r="D58" s="8"/>
      <c r="I58" s="6">
        <f>SUM(I60:I62)</f>
        <v>14</v>
      </c>
      <c r="K58" s="76">
        <f>SUM(K60:K62)</f>
        <v>0</v>
      </c>
      <c r="M58" s="2"/>
      <c r="N58" s="1"/>
      <c r="P58" s="9" t="s">
        <v>587</v>
      </c>
      <c r="R58" s="8"/>
      <c r="W58" s="6">
        <f>SUM(W60:W62)</f>
        <v>14</v>
      </c>
      <c r="Y58" s="76">
        <f>SUM(Y60:Y62)</f>
        <v>0</v>
      </c>
      <c r="AA58" s="76">
        <f>SUM(AA60:AA62)</f>
        <v>0</v>
      </c>
      <c r="AB58" s="7"/>
      <c r="AC58" s="341" t="str">
        <f>IF(Y58-AA58=0,"",Y58-AA58)</f>
        <v/>
      </c>
    </row>
    <row r="59" spans="2:30" ht="15" customHeight="1" x14ac:dyDescent="0.3">
      <c r="B59" s="19"/>
      <c r="D59" s="8"/>
      <c r="K59" s="13"/>
      <c r="M59" s="2"/>
      <c r="N59" s="1"/>
      <c r="P59" s="19"/>
      <c r="R59" s="8"/>
      <c r="Y59" s="13"/>
      <c r="AA59" s="13"/>
      <c r="AB59" s="7"/>
    </row>
    <row r="60" spans="2:30" ht="15" customHeight="1" x14ac:dyDescent="0.3">
      <c r="B60" s="19" t="s">
        <v>338</v>
      </c>
      <c r="D60" s="8"/>
      <c r="I60" s="5">
        <v>10</v>
      </c>
      <c r="K60" s="73">
        <f>'22F1'!H10</f>
        <v>0</v>
      </c>
      <c r="L60" s="13"/>
      <c r="M60" s="154" t="str">
        <f>IF(K60&gt;0,IF('Scoring Checklist'!C154&gt;='Scoring Checklist'!B154,N$13,N$14),N$15)</f>
        <v>N/A</v>
      </c>
      <c r="N60" s="1"/>
      <c r="P60" s="19" t="s">
        <v>170</v>
      </c>
      <c r="R60" s="8"/>
      <c r="W60" s="5">
        <v>10</v>
      </c>
      <c r="Y60" s="73">
        <f>K60</f>
        <v>0</v>
      </c>
      <c r="AA60" s="73">
        <f>'22F1'!V10</f>
        <v>0</v>
      </c>
      <c r="AB60" s="13"/>
      <c r="AC60" s="154" t="str">
        <f>IF(Y60-AA60=0,"",Y60-AA60)</f>
        <v/>
      </c>
    </row>
    <row r="61" spans="2:30" ht="15" customHeight="1" x14ac:dyDescent="0.3">
      <c r="B61" s="19" t="s">
        <v>296</v>
      </c>
      <c r="D61" s="8"/>
      <c r="I61" s="5">
        <v>2</v>
      </c>
      <c r="K61" s="73">
        <f>'22F2'!H10</f>
        <v>0</v>
      </c>
      <c r="L61" s="13"/>
      <c r="M61" s="154" t="str">
        <f>IF(K61&gt;0,IF('Scoring Checklist'!C162&gt;='Scoring Checklist'!B162,N$13,N$14),N$15)</f>
        <v>N/A</v>
      </c>
      <c r="N61" s="1"/>
      <c r="P61" s="19" t="s">
        <v>296</v>
      </c>
      <c r="R61" s="8"/>
      <c r="W61" s="5">
        <v>2</v>
      </c>
      <c r="Y61" s="73">
        <f t="shared" ref="Y61:Y62" si="6">K61</f>
        <v>0</v>
      </c>
      <c r="AA61" s="73">
        <f>'22F2'!V10</f>
        <v>0</v>
      </c>
      <c r="AB61" s="13"/>
      <c r="AC61" s="154" t="str">
        <f>IF(Y61-AA61=0,"",Y61-AA61)</f>
        <v/>
      </c>
    </row>
    <row r="62" spans="2:30" ht="15" customHeight="1" x14ac:dyDescent="0.3">
      <c r="B62" s="19" t="s">
        <v>339</v>
      </c>
      <c r="D62" s="8"/>
      <c r="I62" s="5">
        <v>2</v>
      </c>
      <c r="K62" s="73">
        <f>'22F3'!H10</f>
        <v>0</v>
      </c>
      <c r="L62" s="13"/>
      <c r="M62" s="154" t="str">
        <f>IF(K62&gt;0,IF('Scoring Checklist'!C167&gt;='Scoring Checklist'!B167,N$13,N$14),N$15)</f>
        <v>N/A</v>
      </c>
      <c r="N62" s="1"/>
      <c r="P62" s="19" t="s">
        <v>339</v>
      </c>
      <c r="R62" s="8"/>
      <c r="W62" s="5">
        <v>2</v>
      </c>
      <c r="Y62" s="73">
        <f t="shared" si="6"/>
        <v>0</v>
      </c>
      <c r="AA62" s="73">
        <f>'22F3'!U10</f>
        <v>0</v>
      </c>
      <c r="AB62" s="13"/>
      <c r="AC62" s="154" t="str">
        <f>IF(Y62-AA62=0,"",Y62-AA62)</f>
        <v/>
      </c>
    </row>
    <row r="63" spans="2:30" ht="15" customHeight="1" x14ac:dyDescent="0.3">
      <c r="D63" s="8"/>
      <c r="N63" s="1"/>
      <c r="R63" s="8"/>
      <c r="AB63" s="7"/>
    </row>
    <row r="64" spans="2:30" ht="15" customHeight="1" x14ac:dyDescent="0.3">
      <c r="B64" s="9" t="s">
        <v>93</v>
      </c>
      <c r="D64" s="8"/>
      <c r="I64" s="9"/>
      <c r="K64" s="79"/>
      <c r="M64" s="2"/>
      <c r="N64" s="1"/>
      <c r="P64" s="9" t="s">
        <v>93</v>
      </c>
      <c r="R64" s="8"/>
      <c r="W64" s="9"/>
      <c r="Y64" s="79"/>
      <c r="AA64" s="79"/>
      <c r="AB64" s="7"/>
    </row>
    <row r="65" spans="2:30" ht="15" customHeight="1" x14ac:dyDescent="0.3">
      <c r="B65" s="19"/>
      <c r="D65" s="8"/>
      <c r="K65" s="13"/>
      <c r="M65" s="2"/>
      <c r="N65" s="1"/>
      <c r="P65" s="19"/>
      <c r="R65" s="8"/>
      <c r="Y65" s="13"/>
      <c r="AA65" s="13"/>
      <c r="AB65" s="7"/>
    </row>
    <row r="66" spans="2:30" ht="15" customHeight="1" x14ac:dyDescent="0.3">
      <c r="B66" s="19" t="s">
        <v>171</v>
      </c>
      <c r="D66" s="8"/>
      <c r="K66" s="13"/>
      <c r="L66" s="13"/>
      <c r="M66" s="2"/>
      <c r="N66" s="1"/>
      <c r="P66" s="19" t="s">
        <v>171</v>
      </c>
      <c r="R66" s="8"/>
      <c r="Y66" s="13"/>
      <c r="AA66" s="13"/>
      <c r="AB66" s="13"/>
      <c r="AC66" s="2"/>
    </row>
    <row r="67" spans="2:30" ht="15" customHeight="1" x14ac:dyDescent="0.3">
      <c r="B67" s="19" t="s">
        <v>263</v>
      </c>
      <c r="D67" s="8"/>
      <c r="K67" s="13"/>
      <c r="L67" s="13"/>
      <c r="M67" s="2"/>
      <c r="N67" s="1"/>
      <c r="P67" s="19" t="s">
        <v>263</v>
      </c>
      <c r="R67" s="8"/>
      <c r="Y67" s="13"/>
      <c r="AA67" s="13"/>
      <c r="AB67" s="13"/>
      <c r="AC67" s="2"/>
    </row>
    <row r="68" spans="2:30" ht="15" customHeight="1" x14ac:dyDescent="0.3">
      <c r="B68" s="19" t="s">
        <v>264</v>
      </c>
      <c r="D68" s="8"/>
      <c r="K68" s="13"/>
      <c r="L68" s="13"/>
      <c r="M68" s="2"/>
      <c r="N68" s="1"/>
      <c r="P68" s="19" t="s">
        <v>264</v>
      </c>
      <c r="R68" s="8"/>
      <c r="Y68" s="13"/>
      <c r="AA68" s="13"/>
      <c r="AB68" s="13"/>
      <c r="AC68" s="2"/>
    </row>
    <row r="69" spans="2:30" ht="15" customHeight="1" x14ac:dyDescent="0.3">
      <c r="B69" s="19" t="s">
        <v>172</v>
      </c>
      <c r="D69" s="8"/>
      <c r="K69" s="13"/>
      <c r="M69" s="2"/>
      <c r="N69" s="1"/>
      <c r="P69" s="19" t="s">
        <v>172</v>
      </c>
      <c r="R69" s="8"/>
      <c r="Y69" s="13"/>
      <c r="AA69" s="13"/>
      <c r="AB69" s="7"/>
    </row>
    <row r="70" spans="2:30" ht="15" customHeight="1" x14ac:dyDescent="0.3">
      <c r="B70" s="19" t="s">
        <v>425</v>
      </c>
      <c r="D70" s="8"/>
      <c r="K70" s="13"/>
      <c r="M70" s="2"/>
      <c r="N70" s="1"/>
      <c r="P70" s="19" t="s">
        <v>265</v>
      </c>
      <c r="R70" s="8"/>
      <c r="Y70" s="13"/>
      <c r="AA70" s="13"/>
      <c r="AB70" s="7"/>
    </row>
    <row r="71" spans="2:30" ht="15" customHeight="1" x14ac:dyDescent="0.3">
      <c r="B71" s="19"/>
      <c r="D71" s="8"/>
      <c r="K71" s="13"/>
      <c r="M71" s="2"/>
      <c r="N71" s="1"/>
      <c r="P71" s="19"/>
      <c r="R71" s="8"/>
      <c r="Y71" s="13"/>
      <c r="AA71" s="13"/>
      <c r="AB71" s="7"/>
    </row>
    <row r="72" spans="2:30" ht="15" customHeight="1" x14ac:dyDescent="0.3">
      <c r="B72" s="19"/>
      <c r="D72" s="8"/>
      <c r="K72" s="13"/>
      <c r="M72" s="2"/>
      <c r="N72" s="1"/>
      <c r="P72" s="129" t="s">
        <v>155</v>
      </c>
      <c r="R72" s="8"/>
      <c r="Y72" s="13"/>
      <c r="AA72" s="76"/>
      <c r="AB72" s="7"/>
    </row>
    <row r="73" spans="2:30" ht="15" customHeight="1" x14ac:dyDescent="0.3">
      <c r="B73" s="19"/>
      <c r="D73" s="8"/>
      <c r="K73" s="13"/>
      <c r="M73" s="2"/>
      <c r="N73" s="1"/>
      <c r="P73" s="19"/>
      <c r="Q73" s="1" t="s">
        <v>156</v>
      </c>
      <c r="R73" s="8"/>
      <c r="Y73" s="13"/>
      <c r="AA73" s="13"/>
      <c r="AB73" s="7"/>
    </row>
    <row r="74" spans="2:30" ht="15" customHeight="1" x14ac:dyDescent="0.3">
      <c r="B74" s="19"/>
      <c r="D74" s="8"/>
      <c r="K74" s="13"/>
      <c r="M74" s="2"/>
      <c r="N74" s="1"/>
      <c r="P74" s="19"/>
      <c r="R74" s="8"/>
      <c r="Y74" s="13"/>
      <c r="AA74" s="13"/>
      <c r="AB74" s="7"/>
    </row>
    <row r="75" spans="2:30" ht="15" customHeight="1" x14ac:dyDescent="0.3">
      <c r="B75" s="9" t="s">
        <v>44</v>
      </c>
      <c r="D75" s="8"/>
      <c r="I75" s="6">
        <f>I20+I27+I32+I44+I50+I58</f>
        <v>100</v>
      </c>
      <c r="K75" s="76">
        <f>K50+K44+K32+K27+K20+K58</f>
        <v>0</v>
      </c>
      <c r="N75" s="1"/>
      <c r="P75" s="9" t="s">
        <v>44</v>
      </c>
      <c r="R75" s="8"/>
      <c r="W75" s="6">
        <f>W20+W27+W32+W44+W50+W58</f>
        <v>100</v>
      </c>
      <c r="Y75" s="76">
        <f>Y20+Y27+Y32+Y44+Y50+Y58</f>
        <v>0</v>
      </c>
      <c r="AA75" s="76">
        <f>AA50+AA44+AA32+AA27+AA20+AA58+AA72</f>
        <v>0</v>
      </c>
      <c r="AB75" s="13"/>
      <c r="AC75" s="154" t="str">
        <f>IF(Y75-AA75=0,"",Y75-AA75)</f>
        <v/>
      </c>
      <c r="AD75" s="1"/>
    </row>
    <row r="76" spans="2:30" s="8" customFormat="1" ht="15" customHeight="1" thickBot="1" x14ac:dyDescent="0.35">
      <c r="B76" s="130"/>
      <c r="C76" s="130"/>
      <c r="D76" s="130"/>
      <c r="E76" s="130"/>
      <c r="F76" s="130"/>
      <c r="G76" s="130"/>
      <c r="H76" s="130"/>
      <c r="I76" s="130"/>
      <c r="J76" s="130"/>
      <c r="K76" s="130"/>
      <c r="L76" s="130"/>
      <c r="M76" s="130"/>
      <c r="P76" s="130"/>
      <c r="Q76" s="130"/>
      <c r="R76" s="130"/>
      <c r="S76" s="130"/>
      <c r="T76" s="130"/>
      <c r="U76" s="130"/>
      <c r="V76" s="130"/>
      <c r="W76" s="130"/>
      <c r="X76" s="130"/>
      <c r="Y76" s="130"/>
      <c r="Z76" s="130"/>
      <c r="AA76" s="130"/>
      <c r="AB76" s="130"/>
      <c r="AC76" s="130"/>
    </row>
    <row r="77" spans="2:30" ht="48.75" customHeight="1" x14ac:dyDescent="0.3">
      <c r="B77" s="408" t="s">
        <v>89</v>
      </c>
      <c r="C77" s="408"/>
      <c r="D77" s="408"/>
      <c r="E77" s="408"/>
      <c r="F77" s="408"/>
      <c r="G77" s="408"/>
      <c r="H77" s="408"/>
      <c r="I77" s="408"/>
      <c r="J77" s="408"/>
      <c r="K77" s="408"/>
      <c r="L77" s="408"/>
      <c r="M77" s="408"/>
      <c r="O77" s="50"/>
      <c r="P77" s="408" t="s">
        <v>89</v>
      </c>
      <c r="Q77" s="408"/>
      <c r="R77" s="408"/>
      <c r="S77" s="408"/>
      <c r="T77" s="408"/>
      <c r="U77" s="408"/>
      <c r="V77" s="408"/>
      <c r="W77" s="408"/>
      <c r="X77" s="408"/>
      <c r="Y77" s="408"/>
      <c r="Z77" s="408"/>
      <c r="AA77" s="408"/>
      <c r="AB77" s="408"/>
      <c r="AC77" s="408"/>
    </row>
    <row r="78" spans="2:30" s="8" customFormat="1" ht="62.25" customHeight="1" thickBot="1" x14ac:dyDescent="0.35">
      <c r="B78" s="409" t="s">
        <v>516</v>
      </c>
      <c r="C78" s="409"/>
      <c r="D78" s="409"/>
      <c r="E78" s="409"/>
      <c r="F78" s="409"/>
      <c r="G78" s="409"/>
      <c r="H78" s="409"/>
      <c r="I78" s="409"/>
      <c r="J78" s="409"/>
      <c r="K78" s="409"/>
      <c r="L78" s="409"/>
      <c r="M78" s="409"/>
      <c r="N78" s="31"/>
      <c r="O78" s="51"/>
      <c r="P78" s="409" t="s">
        <v>516</v>
      </c>
      <c r="Q78" s="409"/>
      <c r="R78" s="409"/>
      <c r="S78" s="409"/>
      <c r="T78" s="409"/>
      <c r="U78" s="409"/>
      <c r="V78" s="409"/>
      <c r="W78" s="409"/>
      <c r="X78" s="409"/>
      <c r="Y78" s="409"/>
      <c r="Z78" s="409"/>
      <c r="AA78" s="409"/>
      <c r="AB78" s="409"/>
      <c r="AC78" s="409"/>
      <c r="AD78" s="31"/>
    </row>
    <row r="79" spans="2:30" s="8" customFormat="1" ht="15" customHeight="1" x14ac:dyDescent="0.3">
      <c r="N79" s="31"/>
      <c r="AD79" s="31"/>
    </row>
    <row r="80" spans="2:30" s="8" customFormat="1" ht="15" customHeight="1" x14ac:dyDescent="0.3">
      <c r="N80" s="31"/>
      <c r="AD80" s="31"/>
    </row>
    <row r="81" spans="3:30" s="8" customFormat="1" ht="15" customHeight="1" x14ac:dyDescent="0.3">
      <c r="N81" s="31"/>
      <c r="AD81" s="31"/>
    </row>
    <row r="83" spans="3:30" ht="15" customHeight="1" x14ac:dyDescent="0.3">
      <c r="C83" s="9"/>
      <c r="D83" s="7"/>
      <c r="Q83" s="9"/>
      <c r="R83" s="7"/>
      <c r="AD83" s="1"/>
    </row>
    <row r="84" spans="3:30" ht="15" customHeight="1" x14ac:dyDescent="0.3">
      <c r="C84" s="9"/>
      <c r="D84" s="7"/>
      <c r="Q84" s="9"/>
      <c r="R84" s="7"/>
      <c r="AD84" s="1"/>
    </row>
    <row r="91" spans="3:30" x14ac:dyDescent="0.3">
      <c r="AD91" s="1"/>
    </row>
  </sheetData>
  <sheetProtection algorithmName="SHA-512" hashValue="RuYXfExjo8624E3dXyL9Qvmos+qxHUwXSiNB9mYztcz/kxEofTvawBTCJOxphwnLWXXHRcY9buaR/AbrQDqdIQ==" saltValue="XuZ/v2HJqNV+2niBWJ0JPQ==" spinCount="100000" sheet="1" selectLockedCells="1"/>
  <mergeCells count="24">
    <mergeCell ref="B2:M2"/>
    <mergeCell ref="B3:M3"/>
    <mergeCell ref="E8:F8"/>
    <mergeCell ref="B78:M78"/>
    <mergeCell ref="E6:I6"/>
    <mergeCell ref="E9:F9"/>
    <mergeCell ref="B16:M16"/>
    <mergeCell ref="B77:M77"/>
    <mergeCell ref="I9:K9"/>
    <mergeCell ref="B43:M43"/>
    <mergeCell ref="I36:I38"/>
    <mergeCell ref="I53:I54"/>
    <mergeCell ref="P16:AC16"/>
    <mergeCell ref="P77:AC77"/>
    <mergeCell ref="P78:AC78"/>
    <mergeCell ref="P2:AC2"/>
    <mergeCell ref="P3:AC3"/>
    <mergeCell ref="S6:W6"/>
    <mergeCell ref="S8:T8"/>
    <mergeCell ref="S9:T9"/>
    <mergeCell ref="W9:Y9"/>
    <mergeCell ref="W36:W38"/>
    <mergeCell ref="W53:W54"/>
    <mergeCell ref="P43:AA43"/>
  </mergeCells>
  <conditionalFormatting sqref="K36:K38">
    <cfRule type="expression" dxfId="65" priority="8">
      <formula>$B$43&lt;&gt;""</formula>
    </cfRule>
  </conditionalFormatting>
  <conditionalFormatting sqref="K53">
    <cfRule type="expression" dxfId="64" priority="6">
      <formula>$K$53="ERROR"</formula>
    </cfRule>
  </conditionalFormatting>
  <conditionalFormatting sqref="K54">
    <cfRule type="expression" dxfId="63" priority="5">
      <formula>$K$54="ERROR"</formula>
    </cfRule>
  </conditionalFormatting>
  <conditionalFormatting sqref="AA36 AA37 AA38">
    <cfRule type="expression" dxfId="62" priority="4">
      <formula>$P$43&lt;&gt;""</formula>
    </cfRule>
  </conditionalFormatting>
  <conditionalFormatting sqref="AA53:AA54">
    <cfRule type="expression" dxfId="61" priority="1">
      <formula>$P$51&lt;&gt;""</formula>
    </cfRule>
  </conditionalFormatting>
  <dataValidations count="3">
    <dataValidation type="whole" operator="greaterThan" allowBlank="1" showInputMessage="1" showErrorMessage="1" sqref="K8 Y8" xr:uid="{00000000-0002-0000-0100-000000000000}">
      <formula1>0</formula1>
    </dataValidation>
    <dataValidation type="list" allowBlank="1" showInputMessage="1" showErrorMessage="1" sqref="W9:Y9 I9:K9" xr:uid="{00000000-0002-0000-0100-000001000000}">
      <formula1>$N$18:$N$22</formula1>
    </dataValidation>
    <dataValidation type="list" showInputMessage="1" showErrorMessage="1" sqref="E8:F8 S8:T8" xr:uid="{00000000-0002-0000-0100-000002000000}">
      <formula1>$N$5:$N$7</formula1>
    </dataValidation>
  </dataValidations>
  <pageMargins left="0.7" right="0.7" top="0.75" bottom="0.75" header="0.3" footer="0.3"/>
  <pageSetup scale="54" orientation="portrait" r:id="rId1"/>
  <headerFooter>
    <oddFooter>&amp;CTab: &amp;A&amp;RPrint Date: &amp;D</oddFooter>
  </headerFooter>
  <legacy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rgb="FFFFFF00"/>
  </sheetPr>
  <dimension ref="B1:Z39"/>
  <sheetViews>
    <sheetView showGridLines="0" view="pageBreakPreview" topLeftCell="A4" zoomScale="90" zoomScaleNormal="100" zoomScaleSheetLayoutView="90" workbookViewId="0">
      <selection activeCell="E24" sqref="E24"/>
    </sheetView>
  </sheetViews>
  <sheetFormatPr defaultColWidth="9.109375" defaultRowHeight="15.6" x14ac:dyDescent="0.3"/>
  <cols>
    <col min="1" max="1" width="4.5546875" style="1" customWidth="1"/>
    <col min="2" max="2" width="9.109375" style="185" hidden="1" customWidth="1"/>
    <col min="3" max="4" width="4.88671875" style="1" customWidth="1"/>
    <col min="5" max="13" width="12.44140625" style="1" customWidth="1"/>
    <col min="14" max="14" width="1.5546875" style="1" customWidth="1"/>
    <col min="15" max="15" width="9.109375" style="185" hidden="1" customWidth="1"/>
    <col min="16" max="17" width="4.88671875" style="1" customWidth="1"/>
    <col min="18" max="26" width="12.44140625" style="1" customWidth="1"/>
    <col min="27" max="16384" width="9.109375" style="1"/>
  </cols>
  <sheetData>
    <row r="1" spans="2:26" x14ac:dyDescent="0.3">
      <c r="N1" s="50"/>
    </row>
    <row r="2" spans="2:26" x14ac:dyDescent="0.3">
      <c r="C2" s="410" t="s">
        <v>16</v>
      </c>
      <c r="D2" s="410"/>
      <c r="E2" s="410"/>
      <c r="F2" s="410"/>
      <c r="G2" s="410"/>
      <c r="H2" s="410"/>
      <c r="I2" s="410"/>
      <c r="J2" s="410"/>
      <c r="K2" s="410"/>
      <c r="L2" s="410"/>
      <c r="M2" s="410"/>
      <c r="N2" s="50"/>
      <c r="P2" s="410" t="s">
        <v>16</v>
      </c>
      <c r="Q2" s="410"/>
      <c r="R2" s="410"/>
      <c r="S2" s="410"/>
      <c r="T2" s="410"/>
      <c r="U2" s="410"/>
      <c r="V2" s="410"/>
      <c r="W2" s="410"/>
      <c r="X2" s="410"/>
      <c r="Y2" s="410"/>
      <c r="Z2" s="410"/>
    </row>
    <row r="3" spans="2:26" ht="16.2" thickBot="1" x14ac:dyDescent="0.35">
      <c r="C3" s="411" t="s">
        <v>53</v>
      </c>
      <c r="D3" s="411"/>
      <c r="E3" s="411"/>
      <c r="F3" s="411"/>
      <c r="G3" s="411"/>
      <c r="H3" s="411"/>
      <c r="I3" s="411"/>
      <c r="J3" s="411"/>
      <c r="K3" s="411"/>
      <c r="L3" s="411"/>
      <c r="M3" s="411"/>
      <c r="N3" s="50"/>
      <c r="P3" s="411" t="s">
        <v>54</v>
      </c>
      <c r="Q3" s="411"/>
      <c r="R3" s="411"/>
      <c r="S3" s="411"/>
      <c r="T3" s="411"/>
      <c r="U3" s="411"/>
      <c r="V3" s="411"/>
      <c r="W3" s="411"/>
      <c r="X3" s="411"/>
      <c r="Y3" s="411"/>
      <c r="Z3" s="411"/>
    </row>
    <row r="4" spans="2:26" x14ac:dyDescent="0.3">
      <c r="C4" s="2"/>
      <c r="D4" s="2"/>
      <c r="E4" s="2"/>
      <c r="F4" s="2"/>
      <c r="G4" s="2"/>
      <c r="H4" s="2"/>
      <c r="I4" s="2"/>
      <c r="J4" s="2"/>
      <c r="K4" s="2"/>
      <c r="L4" s="2"/>
      <c r="M4" s="2"/>
      <c r="N4" s="50"/>
      <c r="P4" s="2"/>
      <c r="Q4" s="2"/>
      <c r="R4" s="2"/>
      <c r="S4" s="2"/>
      <c r="T4" s="2"/>
      <c r="U4" s="2"/>
      <c r="V4" s="2"/>
      <c r="W4" s="2"/>
      <c r="X4" s="2"/>
      <c r="Y4" s="2"/>
      <c r="Z4" s="2"/>
    </row>
    <row r="5" spans="2:26" x14ac:dyDescent="0.3">
      <c r="C5" s="2"/>
      <c r="D5" s="2"/>
      <c r="F5" s="56" t="s">
        <v>0</v>
      </c>
      <c r="G5" s="21" t="str">
        <f>IF(Summary!E5="","",Summary!E5)</f>
        <v/>
      </c>
      <c r="H5" s="86"/>
      <c r="I5" s="86"/>
      <c r="J5" s="86"/>
      <c r="K5" s="86"/>
      <c r="L5" s="86"/>
      <c r="M5" s="2"/>
      <c r="N5" s="50"/>
      <c r="O5" s="185" t="s">
        <v>3</v>
      </c>
      <c r="P5" s="2"/>
      <c r="Q5" s="2"/>
      <c r="S5" s="56" t="s">
        <v>0</v>
      </c>
      <c r="T5" s="21" t="str">
        <f>IF(Summary!$S5="","",Summary!$S5)</f>
        <v/>
      </c>
      <c r="U5" s="86"/>
      <c r="V5" s="86"/>
      <c r="W5" s="86"/>
      <c r="X5" s="86"/>
      <c r="Y5" s="86"/>
      <c r="Z5" s="2"/>
    </row>
    <row r="6" spans="2:26" x14ac:dyDescent="0.3">
      <c r="F6" s="56" t="s">
        <v>1</v>
      </c>
      <c r="G6" s="515" t="str">
        <f>IF(Summary!E6="","",Summary!E6)</f>
        <v/>
      </c>
      <c r="H6" s="516"/>
      <c r="I6" s="516"/>
      <c r="J6" s="516"/>
      <c r="K6" s="517"/>
      <c r="L6" s="86"/>
      <c r="N6" s="50"/>
      <c r="S6" s="56" t="s">
        <v>1</v>
      </c>
      <c r="T6" s="515" t="str">
        <f>IF(Summary!$S6="","",Summary!$S6)</f>
        <v/>
      </c>
      <c r="U6" s="516"/>
      <c r="V6" s="516"/>
      <c r="W6" s="516"/>
      <c r="X6" s="517"/>
      <c r="Y6" s="86"/>
    </row>
    <row r="7" spans="2:26" x14ac:dyDescent="0.3">
      <c r="F7" s="56"/>
      <c r="G7" s="182"/>
      <c r="H7" s="182"/>
      <c r="I7" s="86"/>
      <c r="J7" s="86"/>
      <c r="K7" s="86"/>
      <c r="L7" s="86"/>
      <c r="N7" s="50"/>
      <c r="S7" s="56"/>
      <c r="T7" s="182"/>
      <c r="U7" s="182"/>
      <c r="V7" s="86"/>
      <c r="W7" s="86"/>
      <c r="X7" s="86"/>
      <c r="Y7" s="86"/>
    </row>
    <row r="8" spans="2:26" x14ac:dyDescent="0.3">
      <c r="F8" s="56" t="s">
        <v>48</v>
      </c>
      <c r="G8" s="518" t="str">
        <f>IF(Summary!E8="","",Summary!E8)</f>
        <v/>
      </c>
      <c r="H8" s="518"/>
      <c r="I8" s="86"/>
      <c r="J8" s="86"/>
      <c r="K8" s="86"/>
      <c r="L8" s="86"/>
      <c r="N8" s="50"/>
      <c r="S8" s="56" t="s">
        <v>48</v>
      </c>
      <c r="T8" s="526" t="str">
        <f>IF(Summary!$S8="","",Summary!$S8)</f>
        <v/>
      </c>
      <c r="U8" s="527"/>
      <c r="V8" s="86"/>
      <c r="W8" s="86"/>
      <c r="X8" s="86"/>
      <c r="Y8" s="86"/>
    </row>
    <row r="9" spans="2:26" x14ac:dyDescent="0.3">
      <c r="F9" s="56"/>
      <c r="G9" s="84"/>
      <c r="H9" s="84"/>
      <c r="I9" s="86"/>
      <c r="J9" s="86"/>
      <c r="K9" s="86"/>
      <c r="L9" s="86"/>
      <c r="N9" s="50"/>
      <c r="S9" s="56"/>
      <c r="T9" s="84"/>
      <c r="U9" s="84"/>
      <c r="V9" s="86"/>
      <c r="W9" s="86"/>
      <c r="X9" s="86"/>
      <c r="Y9" s="86"/>
    </row>
    <row r="10" spans="2:26" x14ac:dyDescent="0.3">
      <c r="F10" s="56" t="s">
        <v>49</v>
      </c>
      <c r="G10" s="23">
        <f>IF(C16&lt;&gt;"",0,IF(D21="X",3,IF(D22="X",5,IF(D23="X",7,0))))</f>
        <v>0</v>
      </c>
      <c r="H10" s="84"/>
      <c r="I10" s="86"/>
      <c r="J10" s="86"/>
      <c r="K10" s="86"/>
      <c r="L10" s="86"/>
      <c r="N10" s="50"/>
      <c r="S10" s="56" t="s">
        <v>46</v>
      </c>
      <c r="T10" s="23">
        <f>IF(P16&lt;&gt;"",0,IF(Q21="X",3,IF(Q22="X",5,IF(Q23="X",7,0))))</f>
        <v>0</v>
      </c>
      <c r="U10" s="84"/>
      <c r="V10" s="86"/>
      <c r="W10" s="86"/>
      <c r="X10" s="86"/>
      <c r="Y10" s="86"/>
    </row>
    <row r="11" spans="2:26" ht="16.2" thickBot="1" x14ac:dyDescent="0.35">
      <c r="C11" s="3"/>
      <c r="D11" s="3"/>
      <c r="E11" s="3"/>
      <c r="F11" s="3"/>
      <c r="G11" s="3"/>
      <c r="H11" s="3"/>
      <c r="I11" s="3"/>
      <c r="J11" s="3"/>
      <c r="K11" s="3"/>
      <c r="L11" s="3"/>
      <c r="M11" s="3"/>
      <c r="N11" s="50"/>
      <c r="P11" s="3"/>
      <c r="Q11" s="3"/>
      <c r="R11" s="3"/>
      <c r="S11" s="3"/>
      <c r="T11" s="3"/>
      <c r="U11" s="3"/>
      <c r="V11" s="3"/>
      <c r="W11" s="3"/>
      <c r="X11" s="3"/>
      <c r="Y11" s="3"/>
      <c r="Z11" s="3"/>
    </row>
    <row r="12" spans="2:26" x14ac:dyDescent="0.3">
      <c r="N12" s="50"/>
    </row>
    <row r="13" spans="2:26" ht="21.75" customHeight="1" x14ac:dyDescent="0.3">
      <c r="C13" s="127" t="s">
        <v>217</v>
      </c>
      <c r="D13" s="177"/>
      <c r="E13" s="177"/>
      <c r="F13" s="177"/>
      <c r="G13" s="177"/>
      <c r="H13" s="177"/>
      <c r="I13" s="177"/>
      <c r="J13" s="177"/>
      <c r="K13" s="177"/>
      <c r="L13" s="177"/>
      <c r="M13" s="177"/>
      <c r="N13" s="50"/>
      <c r="P13" s="214" t="s">
        <v>217</v>
      </c>
      <c r="Q13" s="177"/>
      <c r="R13" s="177"/>
      <c r="S13" s="177"/>
      <c r="T13" s="177"/>
      <c r="U13" s="177"/>
      <c r="V13" s="177"/>
      <c r="W13" s="177"/>
      <c r="X13" s="177"/>
      <c r="Y13" s="177"/>
      <c r="Z13" s="177"/>
    </row>
    <row r="14" spans="2:26" s="177" customFormat="1" ht="15.75" customHeight="1" x14ac:dyDescent="0.3">
      <c r="B14" s="134"/>
      <c r="C14" s="443" t="s">
        <v>159</v>
      </c>
      <c r="D14" s="443"/>
      <c r="E14" s="443"/>
      <c r="F14" s="443"/>
      <c r="G14" s="443"/>
      <c r="H14" s="443"/>
      <c r="I14" s="443"/>
      <c r="J14" s="443"/>
      <c r="K14" s="443"/>
      <c r="L14" s="443"/>
      <c r="M14" s="443"/>
      <c r="N14" s="135"/>
      <c r="O14" s="134"/>
      <c r="P14" s="443" t="s">
        <v>159</v>
      </c>
      <c r="Q14" s="443"/>
      <c r="R14" s="443"/>
      <c r="S14" s="443"/>
      <c r="T14" s="443"/>
      <c r="U14" s="443"/>
      <c r="V14" s="443"/>
      <c r="W14" s="443"/>
      <c r="X14" s="443"/>
      <c r="Y14" s="443"/>
      <c r="Z14" s="443"/>
    </row>
    <row r="15" spans="2:26" x14ac:dyDescent="0.3">
      <c r="C15" s="443"/>
      <c r="D15" s="443"/>
      <c r="E15" s="443"/>
      <c r="F15" s="443"/>
      <c r="G15" s="443"/>
      <c r="H15" s="443"/>
      <c r="I15" s="443"/>
      <c r="J15" s="443"/>
      <c r="K15" s="443"/>
      <c r="L15" s="443"/>
      <c r="M15" s="443"/>
      <c r="N15" s="50"/>
      <c r="P15" s="443"/>
      <c r="Q15" s="443"/>
      <c r="R15" s="443"/>
      <c r="S15" s="443"/>
      <c r="T15" s="443"/>
      <c r="U15" s="443"/>
      <c r="V15" s="443"/>
      <c r="W15" s="443"/>
      <c r="X15" s="443"/>
      <c r="Y15" s="443"/>
      <c r="Z15" s="443"/>
    </row>
    <row r="16" spans="2:26" x14ac:dyDescent="0.3">
      <c r="C16" s="455" t="str">
        <f>IF(COUNT(C21:C23)&gt;1,"ERROR: SELECT ONLY ONE REHAB SCORING CRITERIA","")</f>
        <v/>
      </c>
      <c r="D16" s="455"/>
      <c r="E16" s="455"/>
      <c r="F16" s="455"/>
      <c r="G16" s="455"/>
      <c r="H16" s="455"/>
      <c r="I16" s="455"/>
      <c r="J16" s="455"/>
      <c r="K16" s="455"/>
      <c r="L16" s="455"/>
      <c r="M16" s="455"/>
      <c r="N16" s="50"/>
      <c r="P16" s="455" t="str">
        <f>IF(COUNT(P21:P23)&gt;1,"ERROR: SELECT ONLY ONE REHAB SCORING CRITERIA","")</f>
        <v/>
      </c>
      <c r="Q16" s="455"/>
      <c r="R16" s="455"/>
      <c r="S16" s="455"/>
      <c r="T16" s="455"/>
      <c r="U16" s="455"/>
      <c r="V16" s="455"/>
      <c r="W16" s="455"/>
      <c r="X16" s="455"/>
      <c r="Y16" s="455"/>
      <c r="Z16" s="455"/>
    </row>
    <row r="17" spans="2:26" x14ac:dyDescent="0.3">
      <c r="C17" s="455"/>
      <c r="D17" s="455"/>
      <c r="E17" s="455"/>
      <c r="F17" s="455"/>
      <c r="G17" s="455"/>
      <c r="H17" s="455"/>
      <c r="I17" s="455"/>
      <c r="J17" s="455"/>
      <c r="K17" s="455"/>
      <c r="L17" s="455"/>
      <c r="M17" s="455"/>
      <c r="N17" s="50"/>
      <c r="P17" s="455"/>
      <c r="Q17" s="455"/>
      <c r="R17" s="455"/>
      <c r="S17" s="455"/>
      <c r="T17" s="455"/>
      <c r="U17" s="455"/>
      <c r="V17" s="455"/>
      <c r="W17" s="455"/>
      <c r="X17" s="455"/>
      <c r="Y17" s="455"/>
      <c r="Z17" s="455"/>
    </row>
    <row r="18" spans="2:26" ht="16.2" thickBot="1" x14ac:dyDescent="0.35">
      <c r="C18" s="407" t="s">
        <v>138</v>
      </c>
      <c r="D18" s="407"/>
      <c r="E18" s="407"/>
      <c r="F18" s="407"/>
      <c r="G18" s="407"/>
      <c r="H18" s="407"/>
      <c r="I18" s="407"/>
      <c r="J18" s="407"/>
      <c r="K18" s="407"/>
      <c r="L18" s="407"/>
      <c r="M18" s="407"/>
      <c r="N18" s="50"/>
      <c r="P18" s="407" t="s">
        <v>138</v>
      </c>
      <c r="Q18" s="407"/>
      <c r="R18" s="407"/>
      <c r="S18" s="407"/>
      <c r="T18" s="407"/>
      <c r="U18" s="407"/>
      <c r="V18" s="407"/>
      <c r="W18" s="407"/>
      <c r="X18" s="407"/>
      <c r="Y18" s="407"/>
      <c r="Z18" s="407"/>
    </row>
    <row r="19" spans="2:26" x14ac:dyDescent="0.3">
      <c r="C19" s="680"/>
      <c r="D19" s="680"/>
      <c r="E19" s="680"/>
      <c r="F19" s="680"/>
      <c r="G19" s="680"/>
      <c r="H19" s="680"/>
      <c r="I19" s="680"/>
      <c r="J19" s="680"/>
      <c r="K19" s="680"/>
      <c r="L19" s="680"/>
      <c r="M19" s="680"/>
      <c r="N19" s="50"/>
      <c r="P19" s="680"/>
      <c r="Q19" s="680"/>
      <c r="R19" s="680"/>
      <c r="S19" s="680"/>
      <c r="T19" s="680"/>
      <c r="U19" s="680"/>
      <c r="V19" s="680"/>
      <c r="W19" s="680"/>
      <c r="X19" s="680"/>
      <c r="Y19" s="680"/>
      <c r="Z19" s="680"/>
    </row>
    <row r="20" spans="2:26" x14ac:dyDescent="0.3">
      <c r="B20" s="30"/>
      <c r="E20" s="7" t="s">
        <v>160</v>
      </c>
      <c r="F20" s="7"/>
      <c r="G20" s="7"/>
      <c r="H20" s="7"/>
      <c r="I20" s="7"/>
      <c r="J20" s="7"/>
      <c r="K20" s="7"/>
      <c r="L20" s="7"/>
      <c r="M20" s="7"/>
      <c r="N20" s="50"/>
      <c r="R20" s="7" t="s">
        <v>160</v>
      </c>
      <c r="S20" s="7"/>
      <c r="T20" s="7"/>
      <c r="U20" s="7"/>
      <c r="V20" s="7"/>
      <c r="W20" s="7"/>
      <c r="X20" s="7"/>
      <c r="Y20" s="7"/>
      <c r="Z20" s="7"/>
    </row>
    <row r="21" spans="2:26" ht="20.100000000000001" customHeight="1" x14ac:dyDescent="0.3">
      <c r="B21" s="30"/>
      <c r="C21" s="167" t="str">
        <f>IF(D21="X",3,"")</f>
        <v/>
      </c>
      <c r="D21" s="193"/>
      <c r="E21" s="136" t="s">
        <v>161</v>
      </c>
      <c r="F21" s="59"/>
      <c r="G21" s="57"/>
      <c r="H21" s="57"/>
      <c r="I21" s="57"/>
      <c r="J21" s="57"/>
      <c r="K21" s="57"/>
      <c r="L21" s="57"/>
      <c r="M21" s="58"/>
      <c r="N21" s="50"/>
      <c r="O21" s="30"/>
      <c r="P21" s="167" t="str">
        <f>IF(Q21="X",3,"")</f>
        <v/>
      </c>
      <c r="Q21" s="132"/>
      <c r="R21" s="136" t="s">
        <v>161</v>
      </c>
      <c r="S21" s="59"/>
      <c r="T21" s="57"/>
      <c r="U21" s="57"/>
      <c r="V21" s="57"/>
      <c r="W21" s="57"/>
      <c r="X21" s="57"/>
      <c r="Y21" s="57"/>
      <c r="Z21" s="58"/>
    </row>
    <row r="22" spans="2:26" ht="20.100000000000001" customHeight="1" x14ac:dyDescent="0.3">
      <c r="B22" s="30"/>
      <c r="C22" s="167" t="str">
        <f>IF(D22="X",5,"")</f>
        <v/>
      </c>
      <c r="D22" s="193"/>
      <c r="E22" s="136" t="s">
        <v>162</v>
      </c>
      <c r="F22" s="59"/>
      <c r="G22" s="57"/>
      <c r="H22" s="57"/>
      <c r="I22" s="57"/>
      <c r="J22" s="57"/>
      <c r="K22" s="57"/>
      <c r="L22" s="57"/>
      <c r="M22" s="58"/>
      <c r="N22" s="50"/>
      <c r="O22" s="30"/>
      <c r="P22" s="167" t="str">
        <f>IF(Q22="X",5,"")</f>
        <v/>
      </c>
      <c r="Q22" s="132"/>
      <c r="R22" s="136" t="s">
        <v>162</v>
      </c>
      <c r="S22" s="59"/>
      <c r="T22" s="57"/>
      <c r="U22" s="57"/>
      <c r="V22" s="57"/>
      <c r="W22" s="57"/>
      <c r="X22" s="57"/>
      <c r="Y22" s="57"/>
      <c r="Z22" s="58"/>
    </row>
    <row r="23" spans="2:26" ht="20.100000000000001" customHeight="1" x14ac:dyDescent="0.3">
      <c r="B23" s="30"/>
      <c r="C23" s="167" t="str">
        <f>IF(D23="X",7,"")</f>
        <v/>
      </c>
      <c r="D23" s="193"/>
      <c r="E23" s="137" t="s">
        <v>163</v>
      </c>
      <c r="F23" s="60"/>
      <c r="G23" s="57"/>
      <c r="H23" s="57"/>
      <c r="I23" s="57"/>
      <c r="J23" s="57"/>
      <c r="K23" s="57"/>
      <c r="L23" s="57"/>
      <c r="M23" s="58"/>
      <c r="N23" s="50"/>
      <c r="O23" s="30"/>
      <c r="P23" s="167" t="str">
        <f>IF(Q23="X",7,"")</f>
        <v/>
      </c>
      <c r="Q23" s="132"/>
      <c r="R23" s="137" t="s">
        <v>163</v>
      </c>
      <c r="S23" s="60"/>
      <c r="T23" s="57"/>
      <c r="U23" s="57"/>
      <c r="V23" s="57"/>
      <c r="W23" s="57"/>
      <c r="X23" s="57"/>
      <c r="Y23" s="57"/>
      <c r="Z23" s="58"/>
    </row>
    <row r="24" spans="2:26" ht="15" customHeight="1" x14ac:dyDescent="0.3">
      <c r="B24" s="30"/>
      <c r="E24" s="8"/>
      <c r="N24" s="50"/>
      <c r="R24" s="8"/>
    </row>
    <row r="25" spans="2:26" ht="15" customHeight="1" x14ac:dyDescent="0.3">
      <c r="C25" s="537"/>
      <c r="D25" s="537"/>
      <c r="E25" s="537"/>
      <c r="F25" s="537"/>
      <c r="G25" s="537"/>
      <c r="H25" s="537"/>
      <c r="I25" s="537"/>
      <c r="J25" s="537"/>
      <c r="K25" s="537"/>
      <c r="L25" s="537"/>
      <c r="M25" s="537"/>
      <c r="N25" s="50"/>
      <c r="P25" s="537"/>
      <c r="Q25" s="537"/>
      <c r="R25" s="537"/>
      <c r="S25" s="537"/>
      <c r="T25" s="537"/>
      <c r="U25" s="537"/>
      <c r="V25" s="537"/>
      <c r="W25" s="537"/>
      <c r="X25" s="537"/>
      <c r="Y25" s="537"/>
      <c r="Z25" s="537"/>
    </row>
    <row r="26" spans="2:26" s="8" customFormat="1" ht="15.6" customHeight="1" x14ac:dyDescent="0.3">
      <c r="B26" s="28"/>
      <c r="C26" s="537"/>
      <c r="D26" s="537"/>
      <c r="E26" s="537"/>
      <c r="F26" s="537"/>
      <c r="G26" s="537"/>
      <c r="H26" s="537"/>
      <c r="I26" s="537"/>
      <c r="J26" s="537"/>
      <c r="K26" s="537"/>
      <c r="L26" s="537"/>
      <c r="M26" s="537"/>
      <c r="N26" s="51"/>
      <c r="O26" s="28"/>
      <c r="P26" s="537"/>
      <c r="Q26" s="537"/>
      <c r="R26" s="537"/>
      <c r="S26" s="537"/>
      <c r="T26" s="537"/>
      <c r="U26" s="537"/>
      <c r="V26" s="537"/>
      <c r="W26" s="537"/>
      <c r="X26" s="537"/>
      <c r="Y26" s="537"/>
      <c r="Z26" s="537"/>
    </row>
    <row r="27" spans="2:26" s="8" customFormat="1" ht="15" customHeight="1" x14ac:dyDescent="0.3">
      <c r="B27" s="28"/>
      <c r="O27" s="28"/>
    </row>
    <row r="28" spans="2:26" s="8" customFormat="1" ht="15" customHeight="1" x14ac:dyDescent="0.3">
      <c r="B28" s="28"/>
      <c r="O28" s="28"/>
    </row>
    <row r="29" spans="2:26" s="8" customFormat="1" ht="15" customHeight="1" x14ac:dyDescent="0.3">
      <c r="B29" s="28"/>
      <c r="O29" s="28"/>
    </row>
    <row r="31" spans="2:26" ht="15" customHeight="1" x14ac:dyDescent="0.3">
      <c r="C31" s="9"/>
      <c r="D31" s="9"/>
      <c r="E31" s="7"/>
      <c r="P31" s="9"/>
      <c r="Q31" s="9"/>
      <c r="R31" s="7"/>
    </row>
    <row r="36" spans="5:18" x14ac:dyDescent="0.3">
      <c r="G36" s="38"/>
      <c r="I36" s="38"/>
    </row>
    <row r="37" spans="5:18" x14ac:dyDescent="0.3">
      <c r="G37" s="38"/>
      <c r="I37" s="38"/>
    </row>
    <row r="38" spans="5:18" hidden="1" x14ac:dyDescent="0.3">
      <c r="E38" s="1" t="s">
        <v>3</v>
      </c>
      <c r="G38" s="38"/>
      <c r="I38" s="38"/>
      <c r="R38" s="1" t="s">
        <v>3</v>
      </c>
    </row>
    <row r="39" spans="5:18" x14ac:dyDescent="0.3">
      <c r="G39" s="38"/>
      <c r="I39" s="38"/>
    </row>
  </sheetData>
  <sheetProtection selectLockedCells="1"/>
  <mergeCells count="20">
    <mergeCell ref="P25:Z25"/>
    <mergeCell ref="P26:Z26"/>
    <mergeCell ref="C19:M19"/>
    <mergeCell ref="P19:Z19"/>
    <mergeCell ref="C25:M25"/>
    <mergeCell ref="C26:M26"/>
    <mergeCell ref="C18:M18"/>
    <mergeCell ref="C2:M2"/>
    <mergeCell ref="C3:M3"/>
    <mergeCell ref="G6:K6"/>
    <mergeCell ref="G8:H8"/>
    <mergeCell ref="C16:M17"/>
    <mergeCell ref="C14:M15"/>
    <mergeCell ref="P2:Z2"/>
    <mergeCell ref="P3:Z3"/>
    <mergeCell ref="T6:X6"/>
    <mergeCell ref="T8:U8"/>
    <mergeCell ref="P18:Z18"/>
    <mergeCell ref="P14:Z15"/>
    <mergeCell ref="P16:Z17"/>
  </mergeCells>
  <dataValidations count="1">
    <dataValidation type="list" allowBlank="1" showInputMessage="1" showErrorMessage="1" sqref="D21:D23 Q21:Q23" xr:uid="{F327E7C1-5033-4641-B3E8-16E8A229A8CD}">
      <formula1>$O$4:$O$5</formula1>
    </dataValidation>
  </dataValidations>
  <pageMargins left="0.7" right="0.7" top="0.75" bottom="0.75" header="0.3" footer="0.3"/>
  <pageSetup scale="71" orientation="portrait" r:id="rId1"/>
  <headerFooter>
    <oddFooter>&amp;CTab: &amp;A&amp;RPrint Date: &amp;D</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2F4B3D-BA1E-4220-A3D5-4BD4B60344FF}">
  <sheetPr>
    <tabColor rgb="FFFFFF00"/>
  </sheetPr>
  <dimension ref="B1:AA18"/>
  <sheetViews>
    <sheetView showGridLines="0" view="pageBreakPreview" zoomScaleNormal="100" zoomScaleSheetLayoutView="100" workbookViewId="0">
      <selection activeCell="E24" sqref="E24"/>
    </sheetView>
  </sheetViews>
  <sheetFormatPr defaultColWidth="9.109375" defaultRowHeight="15.6" x14ac:dyDescent="0.3"/>
  <cols>
    <col min="1" max="1" width="5.109375" style="1" customWidth="1"/>
    <col min="2" max="2" width="6.33203125" style="185" hidden="1" customWidth="1"/>
    <col min="3" max="3" width="9.109375" style="185" hidden="1" customWidth="1"/>
    <col min="4" max="4" width="5" style="1" customWidth="1"/>
    <col min="5" max="5" width="4.88671875" style="1" customWidth="1"/>
    <col min="6" max="13" width="12.44140625" style="1" customWidth="1"/>
    <col min="14" max="14" width="6.109375" style="1" customWidth="1"/>
    <col min="15" max="17" width="6.109375" style="185" hidden="1" customWidth="1"/>
    <col min="18" max="19" width="4.88671875" style="1" customWidth="1"/>
    <col min="20" max="27" width="12.44140625" style="1" customWidth="1"/>
    <col min="28" max="16384" width="9.109375" style="1"/>
  </cols>
  <sheetData>
    <row r="1" spans="2:27" x14ac:dyDescent="0.3">
      <c r="N1" s="50"/>
    </row>
    <row r="2" spans="2:27" x14ac:dyDescent="0.3">
      <c r="B2" s="185" t="s">
        <v>3</v>
      </c>
      <c r="D2" s="410" t="s">
        <v>195</v>
      </c>
      <c r="E2" s="410"/>
      <c r="F2" s="410"/>
      <c r="G2" s="410"/>
      <c r="H2" s="410"/>
      <c r="I2" s="410"/>
      <c r="J2" s="410"/>
      <c r="K2" s="410"/>
      <c r="L2" s="410"/>
      <c r="M2" s="410"/>
      <c r="N2" s="50"/>
      <c r="R2" s="410" t="s">
        <v>195</v>
      </c>
      <c r="S2" s="410"/>
      <c r="T2" s="410"/>
      <c r="U2" s="410"/>
      <c r="V2" s="410"/>
      <c r="W2" s="410"/>
      <c r="X2" s="410"/>
      <c r="Y2" s="410"/>
      <c r="Z2" s="410"/>
      <c r="AA2" s="410"/>
    </row>
    <row r="3" spans="2:27" ht="16.2" thickBot="1" x14ac:dyDescent="0.35">
      <c r="D3" s="411" t="s">
        <v>53</v>
      </c>
      <c r="E3" s="411"/>
      <c r="F3" s="411"/>
      <c r="G3" s="411"/>
      <c r="H3" s="411"/>
      <c r="I3" s="411"/>
      <c r="J3" s="411"/>
      <c r="K3" s="411"/>
      <c r="L3" s="411"/>
      <c r="M3" s="411"/>
      <c r="N3" s="50"/>
      <c r="R3" s="411" t="s">
        <v>54</v>
      </c>
      <c r="S3" s="411"/>
      <c r="T3" s="411"/>
      <c r="U3" s="411"/>
      <c r="V3" s="411"/>
      <c r="W3" s="411"/>
      <c r="X3" s="411"/>
      <c r="Y3" s="411"/>
      <c r="Z3" s="411"/>
      <c r="AA3" s="411"/>
    </row>
    <row r="4" spans="2:27" x14ac:dyDescent="0.3">
      <c r="D4" s="2"/>
      <c r="E4" s="2"/>
      <c r="F4" s="2"/>
      <c r="G4" s="2"/>
      <c r="H4" s="2"/>
      <c r="I4" s="2"/>
      <c r="J4" s="2"/>
      <c r="K4" s="2"/>
      <c r="L4" s="2"/>
      <c r="M4" s="2"/>
      <c r="N4" s="50"/>
      <c r="R4" s="2"/>
      <c r="S4" s="2"/>
      <c r="T4" s="2"/>
      <c r="U4" s="2"/>
      <c r="V4" s="2"/>
      <c r="W4" s="2"/>
      <c r="X4" s="2"/>
      <c r="Y4" s="2"/>
      <c r="Z4" s="2"/>
      <c r="AA4" s="2"/>
    </row>
    <row r="5" spans="2:27" x14ac:dyDescent="0.3">
      <c r="D5" s="2"/>
      <c r="E5" s="2"/>
      <c r="G5" s="56" t="s">
        <v>0</v>
      </c>
      <c r="H5" s="21" t="str">
        <f>IF(Summary!E5="","",Summary!E5)</f>
        <v/>
      </c>
      <c r="I5" s="86"/>
      <c r="J5" s="86"/>
      <c r="K5" s="86"/>
      <c r="L5" s="86"/>
      <c r="M5" s="2"/>
      <c r="N5" s="50"/>
      <c r="R5" s="2"/>
      <c r="S5" s="2"/>
      <c r="U5" s="56" t="s">
        <v>0</v>
      </c>
      <c r="V5" s="21" t="str">
        <f>IF(Summary!$S5="","",Summary!$S5)</f>
        <v/>
      </c>
      <c r="W5" s="86"/>
      <c r="X5" s="86"/>
      <c r="Y5" s="86"/>
      <c r="Z5" s="86"/>
      <c r="AA5" s="2"/>
    </row>
    <row r="6" spans="2:27" x14ac:dyDescent="0.3">
      <c r="G6" s="56" t="s">
        <v>1</v>
      </c>
      <c r="H6" s="515" t="str">
        <f>IF(Summary!E6="","",Summary!E6)</f>
        <v/>
      </c>
      <c r="I6" s="516"/>
      <c r="J6" s="516"/>
      <c r="K6" s="516"/>
      <c r="L6" s="517"/>
      <c r="N6" s="50"/>
      <c r="U6" s="56" t="s">
        <v>1</v>
      </c>
      <c r="V6" s="515" t="str">
        <f>IF(Summary!$S6="","",Summary!$S6)</f>
        <v/>
      </c>
      <c r="W6" s="516"/>
      <c r="X6" s="516" t="str">
        <f>IF(Summary!$S6="","",Summary!$S6)</f>
        <v/>
      </c>
      <c r="Y6" s="516"/>
      <c r="Z6" s="517" t="str">
        <f>IF(Summary!$S6="","",Summary!$S6)</f>
        <v/>
      </c>
    </row>
    <row r="7" spans="2:27" x14ac:dyDescent="0.3">
      <c r="G7" s="56"/>
      <c r="H7" s="182"/>
      <c r="I7" s="182"/>
      <c r="J7" s="86"/>
      <c r="K7" s="86"/>
      <c r="L7" s="86"/>
      <c r="N7" s="50"/>
      <c r="U7" s="56"/>
      <c r="V7" s="182"/>
      <c r="W7" s="182"/>
      <c r="X7" s="86"/>
      <c r="Y7" s="86"/>
      <c r="Z7" s="86"/>
    </row>
    <row r="8" spans="2:27" x14ac:dyDescent="0.3">
      <c r="G8" s="56" t="s">
        <v>48</v>
      </c>
      <c r="H8" s="518" t="str">
        <f>IF(Summary!E8="","",Summary!E8)</f>
        <v/>
      </c>
      <c r="I8" s="518"/>
      <c r="J8" s="86"/>
      <c r="K8" s="86"/>
      <c r="L8" s="86"/>
      <c r="N8" s="50"/>
      <c r="U8" s="56" t="s">
        <v>48</v>
      </c>
      <c r="V8" s="526" t="str">
        <f>IF(Summary!$S8="","",Summary!$S8)</f>
        <v/>
      </c>
      <c r="W8" s="527"/>
      <c r="X8" s="86"/>
      <c r="Y8" s="86"/>
      <c r="Z8" s="86"/>
    </row>
    <row r="9" spans="2:27" x14ac:dyDescent="0.3">
      <c r="G9" s="56"/>
      <c r="H9" s="84"/>
      <c r="I9" s="84"/>
      <c r="J9" s="86"/>
      <c r="K9" s="86"/>
      <c r="L9" s="86"/>
      <c r="N9" s="50"/>
      <c r="U9" s="56"/>
      <c r="V9" s="84"/>
      <c r="W9" s="84"/>
      <c r="X9" s="86"/>
      <c r="Y9" s="86"/>
      <c r="Z9" s="86"/>
    </row>
    <row r="10" spans="2:27" x14ac:dyDescent="0.3">
      <c r="G10" s="56" t="s">
        <v>45</v>
      </c>
      <c r="H10" s="23">
        <f>SUM(D17)</f>
        <v>0</v>
      </c>
      <c r="I10" s="84"/>
      <c r="J10" s="86"/>
      <c r="K10" s="86"/>
      <c r="L10" s="86"/>
      <c r="N10" s="50"/>
      <c r="U10" s="56" t="s">
        <v>46</v>
      </c>
      <c r="V10" s="23">
        <f>SUM(R17)</f>
        <v>0</v>
      </c>
      <c r="W10" s="84"/>
      <c r="X10" s="86"/>
      <c r="Y10" s="86"/>
      <c r="Z10" s="86"/>
    </row>
    <row r="11" spans="2:27" ht="16.2" thickBot="1" x14ac:dyDescent="0.35">
      <c r="D11" s="3"/>
      <c r="E11" s="3"/>
      <c r="F11" s="3"/>
      <c r="G11" s="3"/>
      <c r="H11" s="3"/>
      <c r="I11" s="3"/>
      <c r="J11" s="3"/>
      <c r="K11" s="3"/>
      <c r="L11" s="3"/>
      <c r="M11" s="3"/>
      <c r="N11" s="50"/>
      <c r="R11" s="3"/>
      <c r="S11" s="3"/>
      <c r="T11" s="3"/>
      <c r="U11" s="3"/>
      <c r="V11" s="3"/>
      <c r="W11" s="3"/>
      <c r="X11" s="3"/>
      <c r="Y11" s="3"/>
      <c r="Z11" s="3"/>
      <c r="AA11" s="3"/>
    </row>
    <row r="12" spans="2:27" x14ac:dyDescent="0.3">
      <c r="N12" s="50"/>
    </row>
    <row r="13" spans="2:27" ht="39" customHeight="1" x14ac:dyDescent="0.3">
      <c r="D13" s="443" t="s">
        <v>248</v>
      </c>
      <c r="E13" s="443"/>
      <c r="F13" s="443"/>
      <c r="G13" s="443"/>
      <c r="H13" s="443"/>
      <c r="I13" s="443"/>
      <c r="J13" s="443"/>
      <c r="K13" s="443"/>
      <c r="L13" s="443"/>
      <c r="M13" s="443"/>
      <c r="N13" s="50"/>
      <c r="R13" s="443" t="s">
        <v>198</v>
      </c>
      <c r="S13" s="443"/>
      <c r="T13" s="443"/>
      <c r="U13" s="443"/>
      <c r="V13" s="443"/>
      <c r="W13" s="443"/>
      <c r="X13" s="443"/>
      <c r="Y13" s="443"/>
      <c r="Z13" s="443"/>
      <c r="AA13" s="443"/>
    </row>
    <row r="14" spans="2:27" x14ac:dyDescent="0.3">
      <c r="D14" s="575"/>
      <c r="E14" s="575"/>
      <c r="F14" s="575"/>
      <c r="G14" s="575"/>
      <c r="H14" s="575"/>
      <c r="I14" s="575"/>
      <c r="J14" s="575"/>
      <c r="K14" s="575"/>
      <c r="L14" s="575"/>
      <c r="M14" s="183"/>
      <c r="N14" s="50"/>
      <c r="R14" s="183"/>
      <c r="S14" s="183"/>
      <c r="T14" s="183"/>
      <c r="U14" s="183"/>
      <c r="V14" s="183"/>
      <c r="W14" s="183"/>
      <c r="X14" s="183"/>
      <c r="Y14" s="183"/>
      <c r="Z14" s="183"/>
      <c r="AA14" s="183"/>
    </row>
    <row r="15" spans="2:27" ht="16.2" thickBot="1" x14ac:dyDescent="0.35">
      <c r="D15" s="606" t="s">
        <v>197</v>
      </c>
      <c r="E15" s="606"/>
      <c r="F15" s="606"/>
      <c r="G15" s="606"/>
      <c r="H15" s="606"/>
      <c r="I15" s="606"/>
      <c r="J15" s="606"/>
      <c r="K15" s="606"/>
      <c r="L15" s="606"/>
      <c r="M15" s="606"/>
      <c r="N15" s="50"/>
      <c r="R15" s="606" t="s">
        <v>197</v>
      </c>
      <c r="S15" s="606"/>
      <c r="T15" s="606"/>
      <c r="U15" s="606"/>
      <c r="V15" s="606"/>
      <c r="W15" s="606"/>
      <c r="X15" s="606"/>
      <c r="Y15" s="606"/>
      <c r="Z15" s="606"/>
      <c r="AA15" s="606"/>
    </row>
    <row r="16" spans="2:27" x14ac:dyDescent="0.3">
      <c r="F16" s="7"/>
      <c r="G16" s="7"/>
      <c r="H16" s="7"/>
      <c r="I16" s="7"/>
      <c r="J16" s="7"/>
      <c r="K16" s="7"/>
      <c r="L16" s="7"/>
      <c r="M16" s="7"/>
      <c r="N16" s="50"/>
      <c r="T16" s="7"/>
      <c r="U16" s="7"/>
      <c r="V16" s="7"/>
      <c r="W16" s="7"/>
      <c r="X16" s="7"/>
      <c r="Y16" s="7"/>
      <c r="Z16" s="7"/>
      <c r="AA16" s="7"/>
    </row>
    <row r="17" spans="2:27" s="8" customFormat="1" ht="28.5" customHeight="1" x14ac:dyDescent="0.3">
      <c r="B17" s="28"/>
      <c r="C17" s="28">
        <v>4</v>
      </c>
      <c r="D17" s="167" t="str">
        <f>IF(E17="X",C17,"")</f>
        <v/>
      </c>
      <c r="E17" s="27"/>
      <c r="F17" s="444" t="s">
        <v>199</v>
      </c>
      <c r="G17" s="444"/>
      <c r="H17" s="444"/>
      <c r="I17" s="444"/>
      <c r="J17" s="444"/>
      <c r="K17" s="444"/>
      <c r="L17" s="444"/>
      <c r="M17" s="444"/>
      <c r="O17" s="28"/>
      <c r="P17" s="28"/>
      <c r="Q17" s="28">
        <v>4</v>
      </c>
      <c r="R17" s="167" t="str">
        <f>IF(S17="X",Q17,"")</f>
        <v/>
      </c>
      <c r="S17" s="77"/>
      <c r="T17" s="444" t="s">
        <v>199</v>
      </c>
      <c r="U17" s="444"/>
      <c r="V17" s="444"/>
      <c r="W17" s="444"/>
      <c r="X17" s="444"/>
      <c r="Y17" s="444"/>
      <c r="Z17" s="444"/>
      <c r="AA17" s="444"/>
    </row>
    <row r="18" spans="2:27" s="8" customFormat="1" x14ac:dyDescent="0.3">
      <c r="B18" s="28"/>
      <c r="C18" s="28"/>
      <c r="D18" s="1"/>
      <c r="E18" s="1"/>
      <c r="G18" s="1"/>
      <c r="H18" s="1"/>
      <c r="I18" s="1"/>
      <c r="J18" s="1"/>
      <c r="K18" s="1"/>
      <c r="L18" s="1"/>
      <c r="M18" s="1"/>
      <c r="O18" s="28"/>
      <c r="P18" s="28"/>
      <c r="Q18" s="28"/>
      <c r="R18" s="1"/>
      <c r="S18" s="1"/>
      <c r="U18" s="1"/>
      <c r="V18" s="1"/>
      <c r="W18" s="1"/>
      <c r="X18" s="1"/>
      <c r="Y18" s="1"/>
      <c r="Z18" s="1"/>
      <c r="AA18" s="1"/>
    </row>
  </sheetData>
  <sheetProtection selectLockedCells="1"/>
  <mergeCells count="15">
    <mergeCell ref="D2:M2"/>
    <mergeCell ref="R2:AA2"/>
    <mergeCell ref="D3:M3"/>
    <mergeCell ref="R3:AA3"/>
    <mergeCell ref="H6:L6"/>
    <mergeCell ref="V6:Z6"/>
    <mergeCell ref="F17:M17"/>
    <mergeCell ref="T17:AA17"/>
    <mergeCell ref="H8:I8"/>
    <mergeCell ref="V8:W8"/>
    <mergeCell ref="D13:M13"/>
    <mergeCell ref="R13:AA13"/>
    <mergeCell ref="D15:M15"/>
    <mergeCell ref="R15:AA15"/>
    <mergeCell ref="D14:L14"/>
  </mergeCells>
  <dataValidations count="1">
    <dataValidation type="list" allowBlank="1" showInputMessage="1" showErrorMessage="1" sqref="E17 S17" xr:uid="{EB977F2E-3B0F-4473-805C-35CEFB6F7290}">
      <formula1>$B$1:$B$2</formula1>
    </dataValidation>
  </dataValidations>
  <pageMargins left="0.7" right="0.7" top="0.75" bottom="0.75" header="0.3" footer="0.3"/>
  <pageSetup scale="71" orientation="portrait" r:id="rId1"/>
  <headerFooter>
    <oddFooter>&amp;CTab: &amp;A&amp;RPrint Date: &amp;D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B2:AG199"/>
  <sheetViews>
    <sheetView showGridLines="0" view="pageBreakPreview" topLeftCell="A119" zoomScaleNormal="100" zoomScaleSheetLayoutView="100" workbookViewId="0">
      <selection activeCell="F16" sqref="F16"/>
    </sheetView>
  </sheetViews>
  <sheetFormatPr defaultColWidth="9.109375" defaultRowHeight="15.6" x14ac:dyDescent="0.3"/>
  <cols>
    <col min="1" max="1" width="3.5546875" style="127" customWidth="1"/>
    <col min="2" max="2" width="10.109375" style="294" hidden="1" customWidth="1"/>
    <col min="3" max="3" width="6.109375" style="294" hidden="1" customWidth="1"/>
    <col min="4" max="4" width="3.5546875" style="294" hidden="1" customWidth="1"/>
    <col min="5" max="5" width="8.109375" style="295" customWidth="1"/>
    <col min="6" max="6" width="4.33203125" style="127" customWidth="1"/>
    <col min="7" max="7" width="4.88671875" style="127" customWidth="1"/>
    <col min="8" max="16" width="9.109375" style="127"/>
    <col min="17" max="17" width="3.5546875" style="127" customWidth="1"/>
    <col min="18" max="18" width="5" style="127" hidden="1" customWidth="1"/>
    <col min="19" max="19" width="10.109375" style="294" hidden="1" customWidth="1"/>
    <col min="20" max="20" width="6.109375" style="294" hidden="1" customWidth="1"/>
    <col min="21" max="21" width="4.88671875" style="294" hidden="1" customWidth="1"/>
    <col min="22" max="22" width="8.109375" style="295" customWidth="1"/>
    <col min="23" max="23" width="4.33203125" style="127" customWidth="1"/>
    <col min="24" max="24" width="4.88671875" style="127" customWidth="1"/>
    <col min="25" max="16384" width="9.109375" style="127"/>
  </cols>
  <sheetData>
    <row r="2" spans="2:33" x14ac:dyDescent="0.3">
      <c r="E2" s="410" t="s">
        <v>65</v>
      </c>
      <c r="F2" s="410"/>
      <c r="G2" s="410"/>
      <c r="H2" s="410"/>
      <c r="I2" s="410"/>
      <c r="J2" s="410"/>
      <c r="K2" s="410"/>
      <c r="L2" s="410"/>
      <c r="M2" s="410"/>
      <c r="N2" s="410"/>
      <c r="O2" s="410"/>
      <c r="P2" s="410"/>
      <c r="Q2" s="295"/>
      <c r="V2" s="410" t="s">
        <v>65</v>
      </c>
      <c r="W2" s="410"/>
      <c r="X2" s="410"/>
      <c r="Y2" s="410"/>
      <c r="Z2" s="410"/>
      <c r="AA2" s="410"/>
      <c r="AB2" s="410"/>
      <c r="AC2" s="410"/>
      <c r="AD2" s="410"/>
      <c r="AE2" s="410"/>
      <c r="AF2" s="410"/>
      <c r="AG2" s="410"/>
    </row>
    <row r="3" spans="2:33" ht="16.2" thickBot="1" x14ac:dyDescent="0.35">
      <c r="E3" s="411" t="s">
        <v>53</v>
      </c>
      <c r="F3" s="411"/>
      <c r="G3" s="411"/>
      <c r="H3" s="411"/>
      <c r="I3" s="411"/>
      <c r="J3" s="411"/>
      <c r="K3" s="411"/>
      <c r="L3" s="411"/>
      <c r="M3" s="411"/>
      <c r="N3" s="411"/>
      <c r="O3" s="411"/>
      <c r="P3" s="411"/>
      <c r="Q3" s="296"/>
      <c r="V3" s="411" t="s">
        <v>54</v>
      </c>
      <c r="W3" s="411"/>
      <c r="X3" s="411"/>
      <c r="Y3" s="411"/>
      <c r="Z3" s="411"/>
      <c r="AA3" s="411"/>
      <c r="AB3" s="411"/>
      <c r="AC3" s="411"/>
      <c r="AD3" s="411"/>
      <c r="AE3" s="411"/>
      <c r="AF3" s="411"/>
      <c r="AG3" s="411"/>
    </row>
    <row r="5" spans="2:33" x14ac:dyDescent="0.3">
      <c r="G5" s="123" t="s">
        <v>0</v>
      </c>
      <c r="H5" s="124" t="str">
        <f>IF(Summary!$E5="","",Summary!$E5)</f>
        <v/>
      </c>
      <c r="I5" s="214"/>
      <c r="J5" s="214"/>
      <c r="K5" s="214"/>
      <c r="L5" s="214"/>
      <c r="X5" s="123" t="s">
        <v>0</v>
      </c>
      <c r="Y5" s="124" t="str">
        <f>IF(Summary!$E5="","",Summary!$E5)</f>
        <v/>
      </c>
      <c r="Z5" s="214"/>
      <c r="AA5" s="214"/>
      <c r="AB5" s="214"/>
      <c r="AC5" s="214"/>
    </row>
    <row r="6" spans="2:33" x14ac:dyDescent="0.3">
      <c r="G6" s="123" t="s">
        <v>1</v>
      </c>
      <c r="H6" s="438" t="str">
        <f>IF(Summary!$E6="","",Summary!$E6)</f>
        <v/>
      </c>
      <c r="I6" s="439"/>
      <c r="J6" s="439"/>
      <c r="K6" s="439"/>
      <c r="L6" s="440"/>
      <c r="X6" s="123" t="s">
        <v>1</v>
      </c>
      <c r="Y6" s="438" t="str">
        <f>IF(Summary!$E6="","",Summary!$E6)</f>
        <v/>
      </c>
      <c r="Z6" s="439"/>
      <c r="AA6" s="439"/>
      <c r="AB6" s="439"/>
      <c r="AC6" s="440"/>
    </row>
    <row r="7" spans="2:33" x14ac:dyDescent="0.3">
      <c r="G7" s="123"/>
      <c r="H7" s="336"/>
      <c r="I7" s="125"/>
      <c r="J7" s="214"/>
      <c r="K7" s="214"/>
      <c r="L7" s="214"/>
      <c r="X7" s="123"/>
      <c r="Y7" s="336"/>
      <c r="Z7" s="125"/>
      <c r="AA7" s="214"/>
      <c r="AB7" s="214"/>
      <c r="AC7" s="214"/>
    </row>
    <row r="8" spans="2:33" x14ac:dyDescent="0.3">
      <c r="G8" s="123" t="s">
        <v>48</v>
      </c>
      <c r="H8" s="441" t="str">
        <f>IF(Summary!$E8="","",Summary!$E8)</f>
        <v/>
      </c>
      <c r="I8" s="442"/>
      <c r="J8" s="214"/>
      <c r="K8" s="214"/>
      <c r="L8" s="214"/>
      <c r="X8" s="123" t="s">
        <v>48</v>
      </c>
      <c r="Y8" s="441" t="str">
        <f>IF(Summary!$E8="","",Summary!$E8)</f>
        <v/>
      </c>
      <c r="Z8" s="442"/>
      <c r="AA8" s="214"/>
      <c r="AB8" s="214"/>
      <c r="AC8" s="214"/>
    </row>
    <row r="9" spans="2:33" ht="16.2" thickBot="1" x14ac:dyDescent="0.35">
      <c r="E9" s="297"/>
      <c r="F9" s="298"/>
      <c r="G9" s="298"/>
      <c r="H9" s="298"/>
      <c r="I9" s="298"/>
      <c r="J9" s="298"/>
      <c r="K9" s="298"/>
      <c r="L9" s="298"/>
      <c r="M9" s="298"/>
      <c r="N9" s="298"/>
      <c r="O9" s="298"/>
      <c r="P9" s="298"/>
      <c r="V9" s="297"/>
      <c r="W9" s="298"/>
      <c r="X9" s="298"/>
      <c r="Y9" s="298"/>
      <c r="Z9" s="298"/>
      <c r="AA9" s="298"/>
      <c r="AB9" s="298"/>
      <c r="AC9" s="298"/>
      <c r="AD9" s="298"/>
      <c r="AE9" s="298"/>
      <c r="AF9" s="298"/>
      <c r="AG9" s="298"/>
    </row>
    <row r="11" spans="2:33" ht="34.5" customHeight="1" x14ac:dyDescent="0.3">
      <c r="E11" s="408" t="s">
        <v>374</v>
      </c>
      <c r="F11" s="408"/>
      <c r="G11" s="408"/>
      <c r="H11" s="408"/>
      <c r="I11" s="408"/>
      <c r="J11" s="408"/>
      <c r="K11" s="408"/>
      <c r="L11" s="408"/>
      <c r="M11" s="408"/>
      <c r="N11" s="408"/>
      <c r="O11" s="408"/>
      <c r="P11" s="408"/>
      <c r="Q11" s="337"/>
      <c r="V11" s="408" t="s">
        <v>374</v>
      </c>
      <c r="W11" s="408"/>
      <c r="X11" s="408"/>
      <c r="Y11" s="408"/>
      <c r="Z11" s="408"/>
      <c r="AA11" s="408"/>
      <c r="AB11" s="408"/>
      <c r="AC11" s="408"/>
      <c r="AD11" s="408"/>
      <c r="AE11" s="408"/>
      <c r="AF11" s="408"/>
      <c r="AG11" s="408"/>
    </row>
    <row r="12" spans="2:33" ht="38.25" customHeight="1" x14ac:dyDescent="0.3">
      <c r="E12" s="408" t="s">
        <v>86</v>
      </c>
      <c r="F12" s="408"/>
      <c r="G12" s="408"/>
      <c r="H12" s="408"/>
      <c r="I12" s="408"/>
      <c r="J12" s="408"/>
      <c r="K12" s="408"/>
      <c r="L12" s="408"/>
      <c r="M12" s="408"/>
      <c r="N12" s="408"/>
      <c r="O12" s="408"/>
      <c r="P12" s="408"/>
      <c r="Q12" s="337"/>
      <c r="V12" s="408" t="s">
        <v>86</v>
      </c>
      <c r="W12" s="408"/>
      <c r="X12" s="408"/>
      <c r="Y12" s="408"/>
      <c r="Z12" s="408"/>
      <c r="AA12" s="408"/>
      <c r="AB12" s="408"/>
      <c r="AC12" s="408"/>
      <c r="AD12" s="408"/>
      <c r="AE12" s="408"/>
      <c r="AF12" s="408"/>
      <c r="AG12" s="408"/>
    </row>
    <row r="13" spans="2:33" s="8" customFormat="1" ht="24.9" customHeight="1" thickBot="1" x14ac:dyDescent="0.35">
      <c r="B13" s="28"/>
      <c r="C13" s="28"/>
      <c r="D13" s="28"/>
      <c r="E13" s="121" t="s">
        <v>90</v>
      </c>
      <c r="F13" s="130"/>
      <c r="G13" s="130"/>
      <c r="H13" s="130"/>
      <c r="I13" s="130"/>
      <c r="J13" s="130"/>
      <c r="K13" s="130"/>
      <c r="L13" s="130"/>
      <c r="M13" s="130"/>
      <c r="N13" s="130"/>
      <c r="O13" s="130"/>
      <c r="P13" s="130"/>
      <c r="S13" s="28"/>
      <c r="T13" s="28"/>
      <c r="U13" s="28"/>
      <c r="V13" s="121" t="s">
        <v>90</v>
      </c>
      <c r="W13" s="130"/>
      <c r="X13" s="130"/>
      <c r="Y13" s="130"/>
      <c r="Z13" s="130"/>
      <c r="AA13" s="130"/>
      <c r="AB13" s="130"/>
      <c r="AC13" s="130"/>
      <c r="AD13" s="130"/>
      <c r="AE13" s="130"/>
      <c r="AF13" s="130"/>
      <c r="AG13" s="130"/>
    </row>
    <row r="14" spans="2:33" x14ac:dyDescent="0.3">
      <c r="B14" s="299" t="s">
        <v>62</v>
      </c>
      <c r="C14" s="299" t="s">
        <v>36</v>
      </c>
      <c r="D14" s="299"/>
      <c r="E14" s="127"/>
      <c r="S14" s="299" t="s">
        <v>62</v>
      </c>
      <c r="T14" s="299" t="s">
        <v>36</v>
      </c>
      <c r="U14" s="299"/>
      <c r="V14" s="127"/>
    </row>
    <row r="15" spans="2:33" x14ac:dyDescent="0.3">
      <c r="B15" s="300">
        <v>2</v>
      </c>
      <c r="C15" s="301">
        <f>SUM(C16:C18)</f>
        <v>0</v>
      </c>
      <c r="D15" s="351"/>
      <c r="E15" s="127" t="s">
        <v>130</v>
      </c>
      <c r="S15" s="300">
        <v>2</v>
      </c>
      <c r="T15" s="301">
        <f>SUM(T16:T18)</f>
        <v>0</v>
      </c>
      <c r="U15" s="351"/>
      <c r="V15" s="127" t="s">
        <v>130</v>
      </c>
    </row>
    <row r="16" spans="2:33" x14ac:dyDescent="0.3">
      <c r="B16" s="300"/>
      <c r="C16" s="302">
        <f>IF(F16="X",1,0)</f>
        <v>0</v>
      </c>
      <c r="F16" s="303"/>
      <c r="G16" s="435" t="s">
        <v>412</v>
      </c>
      <c r="H16" s="434"/>
      <c r="I16" s="434"/>
      <c r="J16" s="434"/>
      <c r="K16" s="434"/>
      <c r="L16" s="434"/>
      <c r="M16" s="434"/>
      <c r="N16" s="434"/>
      <c r="O16" s="434"/>
      <c r="P16" s="434"/>
      <c r="S16" s="300"/>
      <c r="T16" s="302">
        <f>IF(W16="X",1,0)</f>
        <v>0</v>
      </c>
      <c r="W16" s="366"/>
      <c r="X16" s="435" t="s">
        <v>412</v>
      </c>
      <c r="Y16" s="434"/>
      <c r="Z16" s="434"/>
      <c r="AA16" s="434"/>
      <c r="AB16" s="434"/>
      <c r="AC16" s="434"/>
      <c r="AD16" s="434"/>
      <c r="AE16" s="434"/>
      <c r="AF16" s="434"/>
      <c r="AG16" s="434"/>
    </row>
    <row r="17" spans="2:33" x14ac:dyDescent="0.3">
      <c r="B17" s="304"/>
      <c r="C17" s="305"/>
      <c r="D17" s="351"/>
      <c r="E17" s="127"/>
      <c r="S17" s="304"/>
      <c r="T17" s="305"/>
      <c r="U17" s="351"/>
      <c r="V17" s="127"/>
    </row>
    <row r="18" spans="2:33" ht="15" customHeight="1" x14ac:dyDescent="0.3">
      <c r="B18" s="306"/>
      <c r="C18" s="307">
        <f>IF(F18="X",1,0)</f>
        <v>0</v>
      </c>
      <c r="F18" s="303"/>
      <c r="G18" s="435" t="s">
        <v>372</v>
      </c>
      <c r="H18" s="434"/>
      <c r="I18" s="434"/>
      <c r="J18" s="434"/>
      <c r="K18" s="434"/>
      <c r="L18" s="434"/>
      <c r="M18" s="434"/>
      <c r="N18" s="434"/>
      <c r="O18" s="434"/>
      <c r="P18" s="434"/>
      <c r="Q18" s="335"/>
      <c r="S18" s="306"/>
      <c r="T18" s="307">
        <f>IF(W18="X",1,0)</f>
        <v>0</v>
      </c>
      <c r="W18" s="366"/>
      <c r="X18" s="435" t="s">
        <v>372</v>
      </c>
      <c r="Y18" s="434"/>
      <c r="Z18" s="434"/>
      <c r="AA18" s="434"/>
      <c r="AB18" s="434"/>
      <c r="AC18" s="434"/>
      <c r="AD18" s="434"/>
      <c r="AE18" s="434"/>
      <c r="AF18" s="434"/>
      <c r="AG18" s="434"/>
    </row>
    <row r="19" spans="2:33" x14ac:dyDescent="0.3">
      <c r="B19" s="306"/>
      <c r="C19" s="307"/>
      <c r="F19" s="214"/>
      <c r="G19" s="155"/>
      <c r="H19" s="155"/>
      <c r="I19" s="155"/>
      <c r="J19" s="155"/>
      <c r="K19" s="155"/>
      <c r="L19" s="155"/>
      <c r="M19" s="155"/>
      <c r="N19" s="155"/>
      <c r="O19" s="155"/>
      <c r="P19" s="155"/>
      <c r="Q19" s="335"/>
      <c r="S19" s="306"/>
      <c r="T19" s="307"/>
      <c r="W19" s="214"/>
      <c r="X19" s="155"/>
      <c r="Y19" s="155"/>
      <c r="Z19" s="155"/>
      <c r="AA19" s="155"/>
      <c r="AB19" s="155"/>
      <c r="AC19" s="155"/>
      <c r="AD19" s="155"/>
      <c r="AE19" s="155"/>
      <c r="AF19" s="155"/>
      <c r="AG19" s="155"/>
    </row>
    <row r="20" spans="2:33" x14ac:dyDescent="0.3">
      <c r="B20" s="308">
        <v>2</v>
      </c>
      <c r="C20" s="309">
        <f>SUM(C21:C23)</f>
        <v>0</v>
      </c>
      <c r="E20" s="127" t="s">
        <v>335</v>
      </c>
      <c r="F20" s="214"/>
      <c r="G20" s="335"/>
      <c r="H20" s="335"/>
      <c r="I20" s="335"/>
      <c r="J20" s="335"/>
      <c r="K20" s="335"/>
      <c r="L20" s="335"/>
      <c r="M20" s="335"/>
      <c r="N20" s="335"/>
      <c r="O20" s="335"/>
      <c r="P20" s="335"/>
      <c r="Q20" s="335"/>
      <c r="S20" s="308">
        <v>2</v>
      </c>
      <c r="T20" s="309">
        <f>SUM(T21:T23)</f>
        <v>0</v>
      </c>
      <c r="V20" s="127" t="s">
        <v>335</v>
      </c>
      <c r="W20" s="214"/>
      <c r="X20" s="335"/>
      <c r="Y20" s="335"/>
      <c r="Z20" s="335"/>
      <c r="AA20" s="335"/>
      <c r="AB20" s="335"/>
      <c r="AC20" s="335"/>
      <c r="AD20" s="335"/>
      <c r="AE20" s="335"/>
      <c r="AF20" s="335"/>
      <c r="AG20" s="335"/>
    </row>
    <row r="21" spans="2:33" x14ac:dyDescent="0.3">
      <c r="B21" s="306"/>
      <c r="C21" s="307">
        <f>IF(F21="X",1,0)</f>
        <v>0</v>
      </c>
      <c r="F21" s="303"/>
      <c r="G21" s="127" t="s">
        <v>413</v>
      </c>
      <c r="H21" s="335"/>
      <c r="I21" s="335"/>
      <c r="J21" s="335"/>
      <c r="K21" s="335"/>
      <c r="L21" s="335"/>
      <c r="M21" s="335"/>
      <c r="N21" s="335"/>
      <c r="O21" s="335"/>
      <c r="P21" s="335"/>
      <c r="Q21" s="335"/>
      <c r="S21" s="306"/>
      <c r="T21" s="307">
        <f>IF(W21="X",1,0)</f>
        <v>0</v>
      </c>
      <c r="W21" s="366"/>
      <c r="X21" s="127" t="s">
        <v>413</v>
      </c>
      <c r="Y21" s="335"/>
      <c r="Z21" s="335"/>
      <c r="AA21" s="335"/>
      <c r="AB21" s="335"/>
      <c r="AC21" s="335"/>
      <c r="AD21" s="335"/>
      <c r="AE21" s="335"/>
      <c r="AF21" s="335"/>
      <c r="AG21" s="335"/>
    </row>
    <row r="22" spans="2:33" x14ac:dyDescent="0.3">
      <c r="B22" s="306"/>
      <c r="C22" s="305"/>
      <c r="E22" s="127"/>
      <c r="F22" s="214"/>
      <c r="G22" s="335"/>
      <c r="H22" s="335"/>
      <c r="I22" s="335"/>
      <c r="J22" s="335"/>
      <c r="K22" s="335"/>
      <c r="L22" s="335"/>
      <c r="M22" s="335"/>
      <c r="N22" s="335"/>
      <c r="O22" s="335"/>
      <c r="P22" s="335"/>
      <c r="Q22" s="335"/>
      <c r="S22" s="306"/>
      <c r="T22" s="305"/>
      <c r="V22" s="127"/>
      <c r="W22" s="214"/>
      <c r="X22" s="335"/>
      <c r="Y22" s="335"/>
      <c r="Z22" s="335"/>
      <c r="AA22" s="335"/>
      <c r="AB22" s="335"/>
      <c r="AC22" s="335"/>
      <c r="AD22" s="335"/>
      <c r="AE22" s="335"/>
      <c r="AF22" s="335"/>
      <c r="AG22" s="335"/>
    </row>
    <row r="23" spans="2:33" x14ac:dyDescent="0.3">
      <c r="B23" s="306"/>
      <c r="C23" s="307">
        <f>IF(F23="X",1,0)</f>
        <v>0</v>
      </c>
      <c r="F23" s="303"/>
      <c r="G23" s="127" t="s">
        <v>372</v>
      </c>
      <c r="H23" s="335"/>
      <c r="I23" s="335"/>
      <c r="J23" s="335"/>
      <c r="K23" s="335"/>
      <c r="L23" s="335"/>
      <c r="M23" s="335"/>
      <c r="N23" s="335"/>
      <c r="O23" s="335"/>
      <c r="P23" s="335"/>
      <c r="Q23" s="335"/>
      <c r="S23" s="306"/>
      <c r="T23" s="307">
        <f>IF(W23="X",1,0)</f>
        <v>0</v>
      </c>
      <c r="W23" s="366"/>
      <c r="X23" s="127" t="s">
        <v>372</v>
      </c>
      <c r="Y23" s="335"/>
      <c r="Z23" s="335"/>
      <c r="AA23" s="335"/>
      <c r="AB23" s="335"/>
      <c r="AC23" s="335"/>
      <c r="AD23" s="335"/>
      <c r="AE23" s="335"/>
      <c r="AF23" s="335"/>
      <c r="AG23" s="335"/>
    </row>
    <row r="24" spans="2:33" x14ac:dyDescent="0.3">
      <c r="B24" s="393"/>
      <c r="C24" s="305"/>
      <c r="D24" s="351"/>
      <c r="E24" s="127"/>
      <c r="S24" s="393"/>
      <c r="T24" s="305"/>
      <c r="U24" s="351"/>
      <c r="V24" s="127"/>
    </row>
    <row r="25" spans="2:33" ht="15" customHeight="1" x14ac:dyDescent="0.3">
      <c r="B25" s="308">
        <v>1</v>
      </c>
      <c r="C25" s="309">
        <f>SUM(C26)</f>
        <v>0</v>
      </c>
      <c r="E25" s="127" t="s">
        <v>336</v>
      </c>
      <c r="G25" s="443" t="s">
        <v>398</v>
      </c>
      <c r="H25" s="443"/>
      <c r="I25" s="443"/>
      <c r="J25" s="443"/>
      <c r="K25" s="443"/>
      <c r="L25" s="443"/>
      <c r="M25" s="443"/>
      <c r="N25" s="443"/>
      <c r="O25" s="443"/>
      <c r="P25" s="443"/>
      <c r="Q25" s="335"/>
      <c r="S25" s="308">
        <v>1</v>
      </c>
      <c r="T25" s="309">
        <f>SUM(T26)</f>
        <v>0</v>
      </c>
      <c r="V25" s="127" t="s">
        <v>336</v>
      </c>
      <c r="X25" s="443" t="s">
        <v>398</v>
      </c>
      <c r="Y25" s="443"/>
      <c r="Z25" s="443"/>
      <c r="AA25" s="443"/>
      <c r="AB25" s="443"/>
      <c r="AC25" s="443"/>
      <c r="AD25" s="443"/>
      <c r="AE25" s="443"/>
      <c r="AF25" s="443"/>
      <c r="AG25" s="443"/>
    </row>
    <row r="26" spans="2:33" ht="15" customHeight="1" x14ac:dyDescent="0.3">
      <c r="B26" s="306"/>
      <c r="C26" s="307">
        <f>IF(F26="X",1,0)</f>
        <v>0</v>
      </c>
      <c r="F26" s="303"/>
      <c r="G26" s="443"/>
      <c r="H26" s="443"/>
      <c r="I26" s="443"/>
      <c r="J26" s="443"/>
      <c r="K26" s="443"/>
      <c r="L26" s="443"/>
      <c r="M26" s="443"/>
      <c r="N26" s="443"/>
      <c r="O26" s="443"/>
      <c r="P26" s="443"/>
      <c r="Q26" s="335"/>
      <c r="S26" s="306"/>
      <c r="T26" s="307">
        <f>IF(W26="X",1,0)</f>
        <v>0</v>
      </c>
      <c r="W26" s="366"/>
      <c r="X26" s="443"/>
      <c r="Y26" s="443"/>
      <c r="Z26" s="443"/>
      <c r="AA26" s="443"/>
      <c r="AB26" s="443"/>
      <c r="AC26" s="443"/>
      <c r="AD26" s="443"/>
      <c r="AE26" s="443"/>
      <c r="AF26" s="443"/>
      <c r="AG26" s="443"/>
    </row>
    <row r="27" spans="2:33" ht="15" customHeight="1" x14ac:dyDescent="0.3">
      <c r="B27" s="306"/>
      <c r="C27" s="307"/>
      <c r="F27" s="1"/>
      <c r="G27" s="335"/>
      <c r="H27" s="335"/>
      <c r="I27" s="335"/>
      <c r="J27" s="335"/>
      <c r="K27" s="335"/>
      <c r="L27" s="335"/>
      <c r="M27" s="335"/>
      <c r="N27" s="335"/>
      <c r="O27" s="335"/>
      <c r="P27" s="335"/>
      <c r="Q27" s="335"/>
      <c r="S27" s="306"/>
      <c r="T27" s="307"/>
      <c r="W27" s="1"/>
      <c r="X27" s="335"/>
      <c r="Y27" s="335"/>
      <c r="Z27" s="335"/>
      <c r="AA27" s="335"/>
      <c r="AB27" s="335"/>
      <c r="AC27" s="335"/>
      <c r="AD27" s="335"/>
      <c r="AE27" s="335"/>
      <c r="AF27" s="335"/>
      <c r="AG27" s="335"/>
    </row>
    <row r="28" spans="2:33" ht="15" customHeight="1" x14ac:dyDescent="0.3">
      <c r="B28" s="308">
        <v>1</v>
      </c>
      <c r="C28" s="309">
        <f>SUM(C29)</f>
        <v>0</v>
      </c>
      <c r="E28" s="127" t="s">
        <v>337</v>
      </c>
      <c r="F28" s="1"/>
      <c r="G28" s="335"/>
      <c r="H28" s="335"/>
      <c r="I28" s="335"/>
      <c r="J28" s="335"/>
      <c r="K28" s="335"/>
      <c r="L28" s="335"/>
      <c r="M28" s="335"/>
      <c r="N28" s="335"/>
      <c r="O28" s="335"/>
      <c r="P28" s="335"/>
      <c r="Q28" s="335"/>
      <c r="S28" s="308">
        <v>1</v>
      </c>
      <c r="T28" s="309">
        <f>SUM(T29)</f>
        <v>0</v>
      </c>
      <c r="V28" s="127" t="s">
        <v>337</v>
      </c>
      <c r="W28" s="1"/>
      <c r="X28" s="335"/>
      <c r="Y28" s="335"/>
      <c r="Z28" s="335"/>
      <c r="AA28" s="335"/>
      <c r="AB28" s="335"/>
      <c r="AC28" s="335"/>
      <c r="AD28" s="335"/>
      <c r="AE28" s="335"/>
      <c r="AF28" s="335"/>
      <c r="AG28" s="335"/>
    </row>
    <row r="29" spans="2:33" ht="15" customHeight="1" x14ac:dyDescent="0.3">
      <c r="B29" s="306"/>
      <c r="C29" s="307">
        <f>IF(F29="X",1,0)</f>
        <v>0</v>
      </c>
      <c r="F29" s="303"/>
      <c r="G29" s="435" t="s">
        <v>373</v>
      </c>
      <c r="H29" s="434"/>
      <c r="I29" s="434"/>
      <c r="J29" s="434"/>
      <c r="K29" s="434"/>
      <c r="L29" s="434"/>
      <c r="M29" s="434"/>
      <c r="N29" s="434"/>
      <c r="O29" s="434"/>
      <c r="P29" s="434"/>
      <c r="Q29" s="335"/>
      <c r="S29" s="306"/>
      <c r="T29" s="307">
        <f>IF(W29="X",1,0)</f>
        <v>0</v>
      </c>
      <c r="W29" s="366"/>
      <c r="X29" s="435" t="s">
        <v>373</v>
      </c>
      <c r="Y29" s="434"/>
      <c r="Z29" s="434"/>
      <c r="AA29" s="434"/>
      <c r="AB29" s="434"/>
      <c r="AC29" s="434"/>
      <c r="AD29" s="434"/>
      <c r="AE29" s="434"/>
      <c r="AF29" s="434"/>
      <c r="AG29" s="434"/>
    </row>
    <row r="30" spans="2:33" ht="15" customHeight="1" x14ac:dyDescent="0.3">
      <c r="B30" s="306"/>
      <c r="C30" s="307"/>
      <c r="F30" s="1"/>
      <c r="G30" s="1"/>
      <c r="H30" s="1"/>
      <c r="I30" s="1"/>
      <c r="J30" s="1"/>
      <c r="K30" s="1"/>
      <c r="L30" s="1"/>
      <c r="M30" s="1"/>
      <c r="N30" s="1"/>
      <c r="O30" s="1"/>
      <c r="P30" s="1"/>
      <c r="Q30" s="1"/>
      <c r="R30" s="1"/>
      <c r="S30" s="306"/>
      <c r="T30" s="307"/>
      <c r="W30" s="1"/>
      <c r="X30" s="1"/>
      <c r="Y30" s="1"/>
      <c r="Z30" s="1"/>
      <c r="AA30" s="1"/>
      <c r="AB30" s="1"/>
      <c r="AC30" s="1"/>
      <c r="AD30" s="1"/>
      <c r="AE30" s="1"/>
      <c r="AF30" s="1"/>
      <c r="AG30" s="1"/>
    </row>
    <row r="31" spans="2:33" s="8" customFormat="1" ht="24.6" customHeight="1" thickBot="1" x14ac:dyDescent="0.35">
      <c r="B31" s="310"/>
      <c r="C31" s="347"/>
      <c r="D31" s="28"/>
      <c r="E31" s="122" t="s">
        <v>588</v>
      </c>
      <c r="F31" s="130"/>
      <c r="G31" s="311"/>
      <c r="H31" s="311"/>
      <c r="I31" s="311"/>
      <c r="J31" s="311"/>
      <c r="K31" s="311"/>
      <c r="L31" s="311"/>
      <c r="M31" s="311"/>
      <c r="N31" s="311"/>
      <c r="O31" s="311"/>
      <c r="P31" s="311"/>
      <c r="S31" s="310"/>
      <c r="T31" s="347"/>
      <c r="U31" s="28"/>
      <c r="V31" s="122" t="s">
        <v>588</v>
      </c>
      <c r="W31" s="130"/>
      <c r="X31" s="311"/>
      <c r="Y31" s="311"/>
      <c r="Z31" s="311"/>
      <c r="AA31" s="311"/>
      <c r="AB31" s="311"/>
      <c r="AC31" s="311"/>
      <c r="AD31" s="311"/>
      <c r="AE31" s="311"/>
      <c r="AF31" s="311"/>
      <c r="AG31" s="311"/>
    </row>
    <row r="32" spans="2:33" ht="15" customHeight="1" x14ac:dyDescent="0.3">
      <c r="B32" s="306"/>
      <c r="C32" s="307"/>
      <c r="E32" s="128"/>
      <c r="S32" s="306"/>
      <c r="T32" s="307"/>
      <c r="V32" s="128"/>
    </row>
    <row r="33" spans="2:33" x14ac:dyDescent="0.3">
      <c r="B33" s="308">
        <v>2</v>
      </c>
      <c r="C33" s="309">
        <f>SUM(C34:C36)</f>
        <v>0</v>
      </c>
      <c r="D33" s="351"/>
      <c r="E33" s="127" t="s">
        <v>552</v>
      </c>
      <c r="S33" s="308">
        <v>2</v>
      </c>
      <c r="T33" s="309">
        <f>SUM(T34:T36)</f>
        <v>0</v>
      </c>
      <c r="U33" s="351"/>
      <c r="V33" s="127" t="s">
        <v>552</v>
      </c>
    </row>
    <row r="34" spans="2:33" x14ac:dyDescent="0.3">
      <c r="B34" s="312"/>
      <c r="C34" s="307">
        <f>IF(F34="X",1,0)</f>
        <v>0</v>
      </c>
      <c r="D34" s="127"/>
      <c r="E34" s="127"/>
      <c r="F34" s="303"/>
      <c r="G34" s="127" t="s">
        <v>399</v>
      </c>
      <c r="S34" s="312"/>
      <c r="T34" s="307">
        <f>IF(W34="X",1,0)</f>
        <v>0</v>
      </c>
      <c r="U34" s="127"/>
      <c r="V34" s="127"/>
      <c r="W34" s="366"/>
      <c r="X34" s="127" t="s">
        <v>399</v>
      </c>
    </row>
    <row r="35" spans="2:33" x14ac:dyDescent="0.3">
      <c r="B35" s="312"/>
      <c r="C35" s="307"/>
      <c r="D35" s="127"/>
      <c r="E35" s="127"/>
      <c r="F35" s="367"/>
      <c r="S35" s="312"/>
      <c r="T35" s="307"/>
      <c r="U35" s="127"/>
      <c r="V35" s="127"/>
      <c r="W35" s="367"/>
    </row>
    <row r="36" spans="2:33" x14ac:dyDescent="0.3">
      <c r="B36" s="312"/>
      <c r="C36" s="307">
        <f>IF(F36="X",1,0)</f>
        <v>0</v>
      </c>
      <c r="D36" s="127"/>
      <c r="E36" s="127"/>
      <c r="F36" s="303"/>
      <c r="G36" s="127" t="s">
        <v>492</v>
      </c>
      <c r="S36" s="312"/>
      <c r="T36" s="307">
        <f>IF(W36="X",1,0)</f>
        <v>0</v>
      </c>
      <c r="U36" s="127"/>
      <c r="V36" s="127"/>
      <c r="W36" s="366"/>
      <c r="X36" s="127" t="s">
        <v>492</v>
      </c>
    </row>
    <row r="37" spans="2:33" x14ac:dyDescent="0.3">
      <c r="B37" s="312"/>
      <c r="C37" s="313"/>
      <c r="D37" s="127"/>
      <c r="E37" s="127"/>
      <c r="F37" s="314"/>
      <c r="S37" s="312"/>
      <c r="T37" s="313"/>
      <c r="U37" s="127"/>
      <c r="V37" s="127"/>
      <c r="W37" s="314"/>
    </row>
    <row r="38" spans="2:33" x14ac:dyDescent="0.3">
      <c r="B38" s="308">
        <v>2</v>
      </c>
      <c r="C38" s="309">
        <f>SUM(C39:C41)</f>
        <v>0</v>
      </c>
      <c r="D38" s="127"/>
      <c r="E38" s="127" t="s">
        <v>553</v>
      </c>
      <c r="F38" s="315"/>
      <c r="S38" s="308">
        <v>2</v>
      </c>
      <c r="T38" s="309">
        <f>SUM(T39:T41)</f>
        <v>0</v>
      </c>
      <c r="U38" s="127"/>
      <c r="V38" s="127" t="s">
        <v>553</v>
      </c>
      <c r="W38" s="315"/>
    </row>
    <row r="39" spans="2:33" ht="16.5" customHeight="1" x14ac:dyDescent="0.3">
      <c r="B39" s="306"/>
      <c r="C39" s="307">
        <f>IF(F39="X",1,0)</f>
        <v>0</v>
      </c>
      <c r="F39" s="303"/>
      <c r="G39" s="435" t="s">
        <v>400</v>
      </c>
      <c r="H39" s="434"/>
      <c r="I39" s="434"/>
      <c r="J39" s="434"/>
      <c r="K39" s="434"/>
      <c r="L39" s="434"/>
      <c r="M39" s="434"/>
      <c r="N39" s="434"/>
      <c r="O39" s="434"/>
      <c r="P39" s="434"/>
      <c r="Q39" s="335"/>
      <c r="S39" s="306"/>
      <c r="T39" s="307">
        <f>IF(W39="X",1,0)</f>
        <v>0</v>
      </c>
      <c r="W39" s="366"/>
      <c r="X39" s="435" t="s">
        <v>400</v>
      </c>
      <c r="Y39" s="434"/>
      <c r="Z39" s="434"/>
      <c r="AA39" s="434"/>
      <c r="AB39" s="434"/>
      <c r="AC39" s="434"/>
      <c r="AD39" s="434"/>
      <c r="AE39" s="434"/>
      <c r="AF39" s="434"/>
      <c r="AG39" s="434"/>
    </row>
    <row r="40" spans="2:33" ht="16.5" customHeight="1" x14ac:dyDescent="0.3">
      <c r="B40" s="306"/>
      <c r="C40" s="307"/>
      <c r="F40" s="367"/>
      <c r="G40" s="335"/>
      <c r="H40" s="335"/>
      <c r="I40" s="335"/>
      <c r="J40" s="335"/>
      <c r="K40" s="335"/>
      <c r="L40" s="335"/>
      <c r="M40" s="335"/>
      <c r="N40" s="335"/>
      <c r="O40" s="335"/>
      <c r="P40" s="335"/>
      <c r="Q40" s="335"/>
      <c r="S40" s="306"/>
      <c r="T40" s="307"/>
      <c r="W40" s="367"/>
      <c r="X40" s="335"/>
      <c r="Y40" s="335"/>
      <c r="Z40" s="335"/>
      <c r="AA40" s="335"/>
      <c r="AB40" s="335"/>
      <c r="AC40" s="335"/>
      <c r="AD40" s="335"/>
      <c r="AE40" s="335"/>
      <c r="AF40" s="335"/>
      <c r="AG40" s="335"/>
    </row>
    <row r="41" spans="2:33" ht="16.5" customHeight="1" x14ac:dyDescent="0.3">
      <c r="B41" s="306"/>
      <c r="C41" s="307">
        <f>IF(F41="X",1,0)</f>
        <v>0</v>
      </c>
      <c r="E41" s="127"/>
      <c r="F41" s="303"/>
      <c r="G41" s="127" t="s">
        <v>614</v>
      </c>
      <c r="P41" s="155"/>
      <c r="Q41" s="335"/>
      <c r="S41" s="306"/>
      <c r="T41" s="307">
        <f>IF(W41="X",1,0)</f>
        <v>0</v>
      </c>
      <c r="V41" s="127"/>
      <c r="W41" s="366"/>
      <c r="X41" s="127" t="s">
        <v>614</v>
      </c>
      <c r="AG41" s="155"/>
    </row>
    <row r="42" spans="2:33" x14ac:dyDescent="0.3">
      <c r="B42" s="316"/>
      <c r="C42" s="317"/>
      <c r="G42" s="155"/>
      <c r="H42" s="155"/>
      <c r="I42" s="155"/>
      <c r="J42" s="155"/>
      <c r="K42" s="155"/>
      <c r="L42" s="155"/>
      <c r="M42" s="155"/>
      <c r="N42" s="155"/>
      <c r="O42" s="155"/>
      <c r="P42" s="155"/>
      <c r="Q42" s="335"/>
      <c r="S42" s="316"/>
      <c r="T42" s="317"/>
      <c r="X42" s="155"/>
      <c r="Y42" s="155"/>
      <c r="Z42" s="155"/>
      <c r="AA42" s="155"/>
      <c r="AB42" s="155"/>
      <c r="AC42" s="155"/>
      <c r="AD42" s="155"/>
      <c r="AE42" s="155"/>
      <c r="AF42" s="155"/>
      <c r="AG42" s="155"/>
    </row>
    <row r="43" spans="2:33" s="8" customFormat="1" ht="27.6" customHeight="1" thickBot="1" x14ac:dyDescent="0.35">
      <c r="B43" s="310"/>
      <c r="C43" s="347"/>
      <c r="D43" s="28"/>
      <c r="E43" s="121" t="s">
        <v>104</v>
      </c>
      <c r="F43" s="130"/>
      <c r="G43" s="130"/>
      <c r="H43" s="130"/>
      <c r="I43" s="130"/>
      <c r="J43" s="130"/>
      <c r="K43" s="130"/>
      <c r="L43" s="130"/>
      <c r="M43" s="130"/>
      <c r="N43" s="130"/>
      <c r="O43" s="130"/>
      <c r="P43" s="130"/>
      <c r="S43" s="310"/>
      <c r="T43" s="347"/>
      <c r="U43" s="28"/>
      <c r="V43" s="121" t="s">
        <v>104</v>
      </c>
      <c r="W43" s="130"/>
      <c r="X43" s="130"/>
      <c r="Y43" s="130"/>
      <c r="Z43" s="130"/>
      <c r="AA43" s="130"/>
      <c r="AB43" s="130"/>
      <c r="AC43" s="130"/>
      <c r="AD43" s="130"/>
      <c r="AE43" s="130"/>
      <c r="AF43" s="130"/>
      <c r="AG43" s="130"/>
    </row>
    <row r="44" spans="2:33" ht="15" customHeight="1" x14ac:dyDescent="0.3">
      <c r="B44" s="306"/>
      <c r="C44" s="307"/>
      <c r="E44" s="128"/>
      <c r="S44" s="306"/>
      <c r="T44" s="307"/>
      <c r="V44" s="128"/>
    </row>
    <row r="45" spans="2:33" ht="15" customHeight="1" x14ac:dyDescent="0.3">
      <c r="B45" s="308">
        <v>5</v>
      </c>
      <c r="C45" s="309">
        <f>SUM(C46:C54)</f>
        <v>0</v>
      </c>
      <c r="D45" s="351"/>
      <c r="E45" s="127" t="s">
        <v>140</v>
      </c>
      <c r="L45" s="127" t="s">
        <v>141</v>
      </c>
      <c r="S45" s="308">
        <v>5</v>
      </c>
      <c r="T45" s="309">
        <f>SUM(T46:T54)</f>
        <v>0</v>
      </c>
      <c r="U45" s="351"/>
      <c r="V45" s="127" t="s">
        <v>140</v>
      </c>
      <c r="AC45" s="127" t="s">
        <v>141</v>
      </c>
    </row>
    <row r="46" spans="2:33" ht="15" customHeight="1" x14ac:dyDescent="0.3">
      <c r="B46" s="306"/>
      <c r="C46" s="307">
        <f>IF(F46="X",1,0)</f>
        <v>0</v>
      </c>
      <c r="F46" s="303"/>
      <c r="G46" s="434" t="s">
        <v>375</v>
      </c>
      <c r="H46" s="434"/>
      <c r="I46" s="434"/>
      <c r="J46" s="434"/>
      <c r="K46" s="434"/>
      <c r="L46" s="434"/>
      <c r="M46" s="434"/>
      <c r="N46" s="434"/>
      <c r="O46" s="434"/>
      <c r="P46" s="434"/>
      <c r="Q46" s="335"/>
      <c r="S46" s="306"/>
      <c r="T46" s="307">
        <f>IF(W46="X",1,0)</f>
        <v>0</v>
      </c>
      <c r="W46" s="366"/>
      <c r="X46" s="434" t="s">
        <v>375</v>
      </c>
      <c r="Y46" s="434"/>
      <c r="Z46" s="434"/>
      <c r="AA46" s="434"/>
      <c r="AB46" s="434"/>
      <c r="AC46" s="434"/>
      <c r="AD46" s="434"/>
      <c r="AE46" s="434"/>
      <c r="AF46" s="434"/>
      <c r="AG46" s="434"/>
    </row>
    <row r="47" spans="2:33" ht="15" customHeight="1" x14ac:dyDescent="0.3">
      <c r="B47" s="306"/>
      <c r="C47" s="307"/>
      <c r="G47" s="434"/>
      <c r="H47" s="434"/>
      <c r="I47" s="434"/>
      <c r="J47" s="434"/>
      <c r="K47" s="434"/>
      <c r="L47" s="434"/>
      <c r="M47" s="434"/>
      <c r="N47" s="434"/>
      <c r="O47" s="434"/>
      <c r="P47" s="434"/>
      <c r="Q47" s="335"/>
      <c r="S47" s="306"/>
      <c r="T47" s="307"/>
      <c r="X47" s="434"/>
      <c r="Y47" s="434"/>
      <c r="Z47" s="434"/>
      <c r="AA47" s="434"/>
      <c r="AB47" s="434"/>
      <c r="AC47" s="434"/>
      <c r="AD47" s="434"/>
      <c r="AE47" s="434"/>
      <c r="AF47" s="434"/>
      <c r="AG47" s="434"/>
    </row>
    <row r="48" spans="2:33" ht="15" customHeight="1" x14ac:dyDescent="0.3">
      <c r="B48" s="306"/>
      <c r="C48" s="307">
        <f>IF(F48="X",1,0)</f>
        <v>0</v>
      </c>
      <c r="F48" s="303"/>
      <c r="G48" s="434" t="s">
        <v>142</v>
      </c>
      <c r="H48" s="434"/>
      <c r="I48" s="434"/>
      <c r="J48" s="434"/>
      <c r="K48" s="434"/>
      <c r="L48" s="434"/>
      <c r="M48" s="434"/>
      <c r="N48" s="434"/>
      <c r="O48" s="434"/>
      <c r="P48" s="434"/>
      <c r="Q48" s="335"/>
      <c r="S48" s="306"/>
      <c r="T48" s="307">
        <f>IF(W48="X",1,0)</f>
        <v>0</v>
      </c>
      <c r="W48" s="366"/>
      <c r="X48" s="434" t="s">
        <v>142</v>
      </c>
      <c r="Y48" s="434"/>
      <c r="Z48" s="434"/>
      <c r="AA48" s="434"/>
      <c r="AB48" s="434"/>
      <c r="AC48" s="434"/>
      <c r="AD48" s="434"/>
      <c r="AE48" s="434"/>
      <c r="AF48" s="434"/>
      <c r="AG48" s="434"/>
    </row>
    <row r="49" spans="2:33" ht="15" customHeight="1" x14ac:dyDescent="0.3">
      <c r="B49" s="306"/>
      <c r="C49" s="307"/>
      <c r="G49" s="434"/>
      <c r="H49" s="434"/>
      <c r="I49" s="434"/>
      <c r="J49" s="434"/>
      <c r="K49" s="434"/>
      <c r="L49" s="434"/>
      <c r="M49" s="434"/>
      <c r="N49" s="434"/>
      <c r="O49" s="434"/>
      <c r="P49" s="434"/>
      <c r="Q49" s="335"/>
      <c r="S49" s="306"/>
      <c r="T49" s="307"/>
      <c r="X49" s="434"/>
      <c r="Y49" s="434"/>
      <c r="Z49" s="434"/>
      <c r="AA49" s="434"/>
      <c r="AB49" s="434"/>
      <c r="AC49" s="434"/>
      <c r="AD49" s="434"/>
      <c r="AE49" s="434"/>
      <c r="AF49" s="434"/>
      <c r="AG49" s="434"/>
    </row>
    <row r="50" spans="2:33" ht="15" customHeight="1" x14ac:dyDescent="0.3">
      <c r="B50" s="306"/>
      <c r="C50" s="307">
        <f>IF(F50="X",1,0)</f>
        <v>0</v>
      </c>
      <c r="F50" s="303"/>
      <c r="G50" s="435" t="s">
        <v>143</v>
      </c>
      <c r="H50" s="434"/>
      <c r="I50" s="434"/>
      <c r="J50" s="434"/>
      <c r="K50" s="434"/>
      <c r="L50" s="434"/>
      <c r="M50" s="434"/>
      <c r="N50" s="434"/>
      <c r="O50" s="434"/>
      <c r="P50" s="434"/>
      <c r="Q50" s="335"/>
      <c r="S50" s="306"/>
      <c r="T50" s="307">
        <f>IF(W50="X",1,0)</f>
        <v>0</v>
      </c>
      <c r="W50" s="366"/>
      <c r="X50" s="435" t="s">
        <v>143</v>
      </c>
      <c r="Y50" s="434"/>
      <c r="Z50" s="434"/>
      <c r="AA50" s="434"/>
      <c r="AB50" s="434"/>
      <c r="AC50" s="434"/>
      <c r="AD50" s="434"/>
      <c r="AE50" s="434"/>
      <c r="AF50" s="434"/>
      <c r="AG50" s="434"/>
    </row>
    <row r="51" spans="2:33" ht="15" customHeight="1" x14ac:dyDescent="0.3">
      <c r="B51" s="306"/>
      <c r="C51" s="307"/>
      <c r="F51" s="318"/>
      <c r="G51" s="335"/>
      <c r="H51" s="335"/>
      <c r="I51" s="335"/>
      <c r="J51" s="335"/>
      <c r="K51" s="335"/>
      <c r="L51" s="335"/>
      <c r="M51" s="335"/>
      <c r="N51" s="335"/>
      <c r="O51" s="335"/>
      <c r="P51" s="335"/>
      <c r="Q51" s="335"/>
      <c r="S51" s="306"/>
      <c r="T51" s="307"/>
      <c r="W51" s="318"/>
      <c r="X51" s="335"/>
      <c r="Y51" s="335"/>
      <c r="Z51" s="335"/>
      <c r="AA51" s="335"/>
      <c r="AB51" s="335"/>
      <c r="AC51" s="335"/>
      <c r="AD51" s="335"/>
      <c r="AE51" s="335"/>
      <c r="AF51" s="335"/>
      <c r="AG51" s="335"/>
    </row>
    <row r="52" spans="2:33" ht="15" customHeight="1" x14ac:dyDescent="0.3">
      <c r="B52" s="306"/>
      <c r="C52" s="307">
        <f>IF(F52="X",1,0)</f>
        <v>0</v>
      </c>
      <c r="F52" s="303"/>
      <c r="G52" s="434" t="s">
        <v>555</v>
      </c>
      <c r="H52" s="434"/>
      <c r="I52" s="434"/>
      <c r="J52" s="434"/>
      <c r="K52" s="434"/>
      <c r="L52" s="434"/>
      <c r="M52" s="434"/>
      <c r="N52" s="434"/>
      <c r="O52" s="434"/>
      <c r="P52" s="434"/>
      <c r="Q52" s="335"/>
      <c r="S52" s="306"/>
      <c r="T52" s="307">
        <f>IF(W52="X",1,0)</f>
        <v>0</v>
      </c>
      <c r="W52" s="366"/>
      <c r="X52" s="434" t="s">
        <v>555</v>
      </c>
      <c r="Y52" s="434"/>
      <c r="Z52" s="434"/>
      <c r="AA52" s="434"/>
      <c r="AB52" s="434"/>
      <c r="AC52" s="434"/>
      <c r="AD52" s="434"/>
      <c r="AE52" s="434"/>
      <c r="AF52" s="434"/>
      <c r="AG52" s="434"/>
    </row>
    <row r="53" spans="2:33" ht="15" customHeight="1" x14ac:dyDescent="0.3">
      <c r="B53" s="306"/>
      <c r="C53" s="307"/>
      <c r="G53" s="434"/>
      <c r="H53" s="434"/>
      <c r="I53" s="434"/>
      <c r="J53" s="434"/>
      <c r="K53" s="434"/>
      <c r="L53" s="434"/>
      <c r="M53" s="434"/>
      <c r="N53" s="434"/>
      <c r="O53" s="434"/>
      <c r="P53" s="434"/>
      <c r="Q53" s="335"/>
      <c r="S53" s="306"/>
      <c r="T53" s="307"/>
      <c r="X53" s="434"/>
      <c r="Y53" s="434"/>
      <c r="Z53" s="434"/>
      <c r="AA53" s="434"/>
      <c r="AB53" s="434"/>
      <c r="AC53" s="434"/>
      <c r="AD53" s="434"/>
      <c r="AE53" s="434"/>
      <c r="AF53" s="434"/>
      <c r="AG53" s="434"/>
    </row>
    <row r="54" spans="2:33" ht="15" customHeight="1" x14ac:dyDescent="0.3">
      <c r="B54" s="306"/>
      <c r="C54" s="307">
        <f>IF(F54="X",1,0)</f>
        <v>0</v>
      </c>
      <c r="F54" s="303"/>
      <c r="G54" s="434" t="s">
        <v>556</v>
      </c>
      <c r="H54" s="434"/>
      <c r="I54" s="434"/>
      <c r="J54" s="434"/>
      <c r="K54" s="434"/>
      <c r="L54" s="434"/>
      <c r="M54" s="434"/>
      <c r="N54" s="434"/>
      <c r="O54" s="434"/>
      <c r="P54" s="434"/>
      <c r="Q54" s="335"/>
      <c r="S54" s="306"/>
      <c r="T54" s="307">
        <f>IF(W54="X",1,0)</f>
        <v>0</v>
      </c>
      <c r="W54" s="366"/>
      <c r="X54" s="434" t="s">
        <v>556</v>
      </c>
      <c r="Y54" s="434"/>
      <c r="Z54" s="434"/>
      <c r="AA54" s="434"/>
      <c r="AB54" s="434"/>
      <c r="AC54" s="434"/>
      <c r="AD54" s="434"/>
      <c r="AE54" s="434"/>
      <c r="AF54" s="434"/>
      <c r="AG54" s="434"/>
    </row>
    <row r="55" spans="2:33" ht="15" customHeight="1" x14ac:dyDescent="0.3">
      <c r="B55" s="306"/>
      <c r="C55" s="307"/>
      <c r="F55" s="318"/>
      <c r="G55" s="434"/>
      <c r="H55" s="434"/>
      <c r="I55" s="434"/>
      <c r="J55" s="434"/>
      <c r="K55" s="434"/>
      <c r="L55" s="434"/>
      <c r="M55" s="434"/>
      <c r="N55" s="434"/>
      <c r="O55" s="434"/>
      <c r="P55" s="434"/>
      <c r="Q55" s="335"/>
      <c r="S55" s="306"/>
      <c r="T55" s="307"/>
      <c r="W55" s="318"/>
      <c r="X55" s="434"/>
      <c r="Y55" s="434"/>
      <c r="Z55" s="434"/>
      <c r="AA55" s="434"/>
      <c r="AB55" s="434"/>
      <c r="AC55" s="434"/>
      <c r="AD55" s="434"/>
      <c r="AE55" s="434"/>
      <c r="AF55" s="434"/>
      <c r="AG55" s="434"/>
    </row>
    <row r="56" spans="2:33" ht="15" customHeight="1" x14ac:dyDescent="0.3">
      <c r="B56" s="306"/>
      <c r="C56" s="307"/>
      <c r="F56" s="318"/>
      <c r="G56" s="335"/>
      <c r="H56" s="335"/>
      <c r="I56" s="335"/>
      <c r="J56" s="335"/>
      <c r="K56" s="335"/>
      <c r="L56" s="335"/>
      <c r="M56" s="335"/>
      <c r="N56" s="335"/>
      <c r="O56" s="335"/>
      <c r="P56" s="335"/>
      <c r="Q56" s="335"/>
      <c r="S56" s="306"/>
      <c r="T56" s="307"/>
      <c r="W56" s="318"/>
      <c r="X56" s="335"/>
      <c r="Y56" s="335"/>
      <c r="Z56" s="335"/>
      <c r="AA56" s="335"/>
      <c r="AB56" s="335"/>
      <c r="AC56" s="335"/>
      <c r="AD56" s="335"/>
      <c r="AE56" s="335"/>
      <c r="AF56" s="335"/>
      <c r="AG56" s="335"/>
    </row>
    <row r="57" spans="2:33" ht="15" customHeight="1" x14ac:dyDescent="0.3">
      <c r="B57" s="308">
        <v>2</v>
      </c>
      <c r="C57" s="309">
        <f>SUM(C58:C61)</f>
        <v>0</v>
      </c>
      <c r="D57" s="351"/>
      <c r="E57" s="127" t="s">
        <v>144</v>
      </c>
      <c r="S57" s="308">
        <v>2</v>
      </c>
      <c r="T57" s="309">
        <f>SUM(T58:T61)</f>
        <v>0</v>
      </c>
      <c r="U57" s="351"/>
      <c r="V57" s="127" t="s">
        <v>144</v>
      </c>
    </row>
    <row r="58" spans="2:33" ht="15" customHeight="1" x14ac:dyDescent="0.3">
      <c r="B58" s="306"/>
      <c r="C58" s="307">
        <f>IF(F58="X",1,0)</f>
        <v>0</v>
      </c>
      <c r="F58" s="303"/>
      <c r="G58" s="127" t="s">
        <v>376</v>
      </c>
      <c r="H58" s="155"/>
      <c r="I58" s="155"/>
      <c r="J58" s="155"/>
      <c r="K58" s="155"/>
      <c r="L58" s="155"/>
      <c r="M58" s="155"/>
      <c r="N58" s="155"/>
      <c r="O58" s="155"/>
      <c r="P58" s="155"/>
      <c r="Q58" s="335"/>
      <c r="S58" s="306"/>
      <c r="T58" s="307">
        <f>IF(W58="X",1,0)</f>
        <v>0</v>
      </c>
      <c r="W58" s="366"/>
      <c r="X58" s="127" t="s">
        <v>376</v>
      </c>
      <c r="Y58" s="155"/>
      <c r="Z58" s="155"/>
      <c r="AA58" s="155"/>
      <c r="AB58" s="155"/>
      <c r="AC58" s="155"/>
      <c r="AD58" s="155"/>
      <c r="AE58" s="155"/>
      <c r="AF58" s="155"/>
      <c r="AG58" s="155"/>
    </row>
    <row r="59" spans="2:33" x14ac:dyDescent="0.3">
      <c r="B59" s="306"/>
      <c r="C59" s="307"/>
      <c r="G59" s="155"/>
      <c r="H59" s="155"/>
      <c r="I59" s="155"/>
      <c r="J59" s="155"/>
      <c r="K59" s="155"/>
      <c r="L59" s="155"/>
      <c r="M59" s="155"/>
      <c r="N59" s="155"/>
      <c r="O59" s="155"/>
      <c r="P59" s="155"/>
      <c r="Q59" s="335"/>
      <c r="S59" s="306"/>
      <c r="T59" s="307"/>
      <c r="X59" s="155"/>
      <c r="Y59" s="155"/>
      <c r="Z59" s="155"/>
      <c r="AA59" s="155"/>
      <c r="AB59" s="155"/>
      <c r="AC59" s="155"/>
      <c r="AD59" s="155"/>
      <c r="AE59" s="155"/>
      <c r="AF59" s="155"/>
      <c r="AG59" s="155"/>
    </row>
    <row r="60" spans="2:33" ht="15" customHeight="1" x14ac:dyDescent="0.3">
      <c r="B60" s="306"/>
      <c r="C60" s="307">
        <f>IF(F60="X",1,0)</f>
        <v>0</v>
      </c>
      <c r="F60" s="303"/>
      <c r="G60" s="435" t="s">
        <v>145</v>
      </c>
      <c r="H60" s="434"/>
      <c r="I60" s="434"/>
      <c r="J60" s="434"/>
      <c r="K60" s="434"/>
      <c r="L60" s="434"/>
      <c r="M60" s="434"/>
      <c r="N60" s="434"/>
      <c r="O60" s="434"/>
      <c r="P60" s="434"/>
      <c r="Q60" s="335"/>
      <c r="S60" s="306"/>
      <c r="T60" s="307">
        <f>IF(W60="X",1,0)</f>
        <v>0</v>
      </c>
      <c r="W60" s="366"/>
      <c r="X60" s="435" t="s">
        <v>145</v>
      </c>
      <c r="Y60" s="434"/>
      <c r="Z60" s="434"/>
      <c r="AA60" s="434"/>
      <c r="AB60" s="434"/>
      <c r="AC60" s="434"/>
      <c r="AD60" s="434"/>
      <c r="AE60" s="434"/>
      <c r="AF60" s="434"/>
      <c r="AG60" s="434"/>
    </row>
    <row r="61" spans="2:33" ht="15" customHeight="1" x14ac:dyDescent="0.3">
      <c r="B61" s="306"/>
      <c r="C61" s="307"/>
      <c r="F61" s="318"/>
      <c r="G61" s="335"/>
      <c r="H61" s="335"/>
      <c r="I61" s="335"/>
      <c r="J61" s="335"/>
      <c r="K61" s="335"/>
      <c r="L61" s="335"/>
      <c r="M61" s="335"/>
      <c r="N61" s="335"/>
      <c r="O61" s="335"/>
      <c r="P61" s="335"/>
      <c r="Q61" s="335"/>
      <c r="S61" s="306"/>
      <c r="T61" s="307"/>
      <c r="W61" s="318"/>
      <c r="X61" s="335"/>
      <c r="Y61" s="335"/>
      <c r="Z61" s="335"/>
      <c r="AA61" s="335"/>
      <c r="AB61" s="335"/>
      <c r="AC61" s="335"/>
      <c r="AD61" s="335"/>
      <c r="AE61" s="335"/>
      <c r="AF61" s="335"/>
      <c r="AG61" s="335"/>
    </row>
    <row r="62" spans="2:33" ht="15" customHeight="1" x14ac:dyDescent="0.3">
      <c r="B62" s="308">
        <v>1</v>
      </c>
      <c r="C62" s="309">
        <f>SUM(C63)</f>
        <v>0</v>
      </c>
      <c r="E62" s="214" t="s">
        <v>258</v>
      </c>
      <c r="F62" s="318"/>
      <c r="G62" s="335"/>
      <c r="H62" s="335"/>
      <c r="I62" s="335"/>
      <c r="J62" s="335"/>
      <c r="K62" s="335"/>
      <c r="L62" s="335"/>
      <c r="M62" s="335"/>
      <c r="N62" s="335"/>
      <c r="O62" s="335"/>
      <c r="P62" s="335"/>
      <c r="Q62" s="335"/>
      <c r="S62" s="308">
        <v>1</v>
      </c>
      <c r="T62" s="309">
        <f>SUM(T63)</f>
        <v>0</v>
      </c>
      <c r="V62" s="214" t="s">
        <v>258</v>
      </c>
      <c r="W62" s="318"/>
      <c r="X62" s="335"/>
      <c r="Y62" s="335"/>
      <c r="Z62" s="335"/>
      <c r="AA62" s="335"/>
      <c r="AB62" s="335"/>
      <c r="AC62" s="335"/>
      <c r="AD62" s="335"/>
      <c r="AE62" s="335"/>
      <c r="AF62" s="335"/>
      <c r="AG62" s="335"/>
    </row>
    <row r="63" spans="2:33" ht="15" customHeight="1" x14ac:dyDescent="0.3">
      <c r="B63" s="306"/>
      <c r="C63" s="307">
        <f>IF(F63="X",1,0)</f>
        <v>0</v>
      </c>
      <c r="F63" s="303"/>
      <c r="G63" s="214" t="s">
        <v>377</v>
      </c>
      <c r="H63" s="335"/>
      <c r="I63" s="335"/>
      <c r="J63" s="335"/>
      <c r="K63" s="335"/>
      <c r="L63" s="335"/>
      <c r="M63" s="335"/>
      <c r="N63" s="335"/>
      <c r="O63" s="335"/>
      <c r="P63" s="335"/>
      <c r="Q63" s="335"/>
      <c r="S63" s="306"/>
      <c r="T63" s="307">
        <f>IF(W63="X",1,0)</f>
        <v>0</v>
      </c>
      <c r="W63" s="366"/>
      <c r="X63" s="214" t="s">
        <v>377</v>
      </c>
      <c r="Y63" s="335"/>
      <c r="Z63" s="335"/>
      <c r="AA63" s="335"/>
      <c r="AB63" s="335"/>
      <c r="AC63" s="335"/>
      <c r="AD63" s="335"/>
      <c r="AE63" s="335"/>
      <c r="AF63" s="335"/>
      <c r="AG63" s="335"/>
    </row>
    <row r="64" spans="2:33" ht="15" customHeight="1" x14ac:dyDescent="0.3">
      <c r="B64" s="306"/>
      <c r="C64" s="307"/>
      <c r="F64" s="318"/>
      <c r="G64" s="335"/>
      <c r="H64" s="335"/>
      <c r="I64" s="335"/>
      <c r="J64" s="335"/>
      <c r="K64" s="335"/>
      <c r="L64" s="335"/>
      <c r="M64" s="335"/>
      <c r="N64" s="335"/>
      <c r="O64" s="335"/>
      <c r="P64" s="335"/>
      <c r="Q64" s="335"/>
      <c r="S64" s="306"/>
      <c r="T64" s="307"/>
      <c r="W64" s="318"/>
      <c r="X64" s="335"/>
      <c r="Y64" s="335"/>
      <c r="Z64" s="335"/>
      <c r="AA64" s="335"/>
      <c r="AB64" s="335"/>
      <c r="AC64" s="335"/>
      <c r="AD64" s="335"/>
      <c r="AE64" s="335"/>
      <c r="AF64" s="335"/>
      <c r="AG64" s="335"/>
    </row>
    <row r="65" spans="2:33" ht="15" customHeight="1" x14ac:dyDescent="0.3">
      <c r="B65" s="308">
        <v>2</v>
      </c>
      <c r="C65" s="309">
        <f>SUM(C66:C68)</f>
        <v>0</v>
      </c>
      <c r="D65" s="351"/>
      <c r="E65" s="127" t="s">
        <v>262</v>
      </c>
      <c r="S65" s="308">
        <v>2</v>
      </c>
      <c r="T65" s="309">
        <f>SUM(T66:T68)</f>
        <v>0</v>
      </c>
      <c r="U65" s="351"/>
      <c r="V65" s="127" t="s">
        <v>262</v>
      </c>
    </row>
    <row r="66" spans="2:33" ht="14.4" customHeight="1" x14ac:dyDescent="0.3">
      <c r="B66" s="306"/>
      <c r="C66" s="307">
        <f>IF(F66="X",1,0)</f>
        <v>0</v>
      </c>
      <c r="F66" s="303"/>
      <c r="G66" s="434" t="s">
        <v>378</v>
      </c>
      <c r="H66" s="434"/>
      <c r="I66" s="434"/>
      <c r="J66" s="434"/>
      <c r="K66" s="434"/>
      <c r="L66" s="434"/>
      <c r="M66" s="434"/>
      <c r="N66" s="434"/>
      <c r="O66" s="434"/>
      <c r="P66" s="434"/>
      <c r="Q66" s="335"/>
      <c r="S66" s="306"/>
      <c r="T66" s="307">
        <f>IF(W66="X",1,0)</f>
        <v>0</v>
      </c>
      <c r="W66" s="366"/>
      <c r="X66" s="434" t="s">
        <v>378</v>
      </c>
      <c r="Y66" s="434"/>
      <c r="Z66" s="434"/>
      <c r="AA66" s="434"/>
      <c r="AB66" s="434"/>
      <c r="AC66" s="434"/>
      <c r="AD66" s="434"/>
      <c r="AE66" s="434"/>
      <c r="AF66" s="434"/>
      <c r="AG66" s="434"/>
    </row>
    <row r="67" spans="2:33" ht="15" customHeight="1" x14ac:dyDescent="0.3">
      <c r="B67" s="306"/>
      <c r="C67" s="307"/>
      <c r="G67" s="434"/>
      <c r="H67" s="434"/>
      <c r="I67" s="434"/>
      <c r="J67" s="434"/>
      <c r="K67" s="434"/>
      <c r="L67" s="434"/>
      <c r="M67" s="434"/>
      <c r="N67" s="434"/>
      <c r="O67" s="434"/>
      <c r="P67" s="434"/>
      <c r="Q67" s="335"/>
      <c r="S67" s="306"/>
      <c r="T67" s="307"/>
      <c r="X67" s="434"/>
      <c r="Y67" s="434"/>
      <c r="Z67" s="434"/>
      <c r="AA67" s="434"/>
      <c r="AB67" s="434"/>
      <c r="AC67" s="434"/>
      <c r="AD67" s="434"/>
      <c r="AE67" s="434"/>
      <c r="AF67" s="434"/>
      <c r="AG67" s="434"/>
    </row>
    <row r="68" spans="2:33" ht="15" customHeight="1" x14ac:dyDescent="0.3">
      <c r="B68" s="306"/>
      <c r="C68" s="307">
        <f>IF(F68="X",1,0)</f>
        <v>0</v>
      </c>
      <c r="F68" s="303"/>
      <c r="G68" s="434" t="s">
        <v>131</v>
      </c>
      <c r="H68" s="434"/>
      <c r="I68" s="434"/>
      <c r="J68" s="434"/>
      <c r="K68" s="434"/>
      <c r="L68" s="434"/>
      <c r="M68" s="434"/>
      <c r="N68" s="434"/>
      <c r="O68" s="434"/>
      <c r="P68" s="434"/>
      <c r="Q68" s="335"/>
      <c r="S68" s="306"/>
      <c r="T68" s="307">
        <f>IF(W68="X",1,0)</f>
        <v>0</v>
      </c>
      <c r="W68" s="366"/>
      <c r="X68" s="434" t="s">
        <v>131</v>
      </c>
      <c r="Y68" s="434"/>
      <c r="Z68" s="434"/>
      <c r="AA68" s="434"/>
      <c r="AB68" s="434"/>
      <c r="AC68" s="434"/>
      <c r="AD68" s="434"/>
      <c r="AE68" s="434"/>
      <c r="AF68" s="434"/>
      <c r="AG68" s="434"/>
    </row>
    <row r="69" spans="2:33" ht="15.9" customHeight="1" x14ac:dyDescent="0.3">
      <c r="B69" s="306"/>
      <c r="C69" s="307"/>
      <c r="G69" s="434"/>
      <c r="H69" s="434"/>
      <c r="I69" s="434"/>
      <c r="J69" s="434"/>
      <c r="K69" s="434"/>
      <c r="L69" s="434"/>
      <c r="M69" s="434"/>
      <c r="N69" s="434"/>
      <c r="O69" s="434"/>
      <c r="P69" s="434"/>
      <c r="Q69" s="335"/>
      <c r="S69" s="306"/>
      <c r="T69" s="307"/>
      <c r="X69" s="434"/>
      <c r="Y69" s="434"/>
      <c r="Z69" s="434"/>
      <c r="AA69" s="434"/>
      <c r="AB69" s="434"/>
      <c r="AC69" s="434"/>
      <c r="AD69" s="434"/>
      <c r="AE69" s="434"/>
      <c r="AF69" s="434"/>
      <c r="AG69" s="434"/>
    </row>
    <row r="70" spans="2:33" s="319" customFormat="1" ht="15" customHeight="1" x14ac:dyDescent="0.3">
      <c r="B70" s="320">
        <v>2</v>
      </c>
      <c r="C70" s="321">
        <f>SUM(C71:C73)</f>
        <v>0</v>
      </c>
      <c r="D70" s="322"/>
      <c r="E70" s="127" t="s">
        <v>121</v>
      </c>
      <c r="F70" s="127"/>
      <c r="G70" s="127"/>
      <c r="H70" s="127"/>
      <c r="I70" s="127"/>
      <c r="J70" s="127"/>
      <c r="K70" s="127"/>
      <c r="L70" s="127"/>
      <c r="M70" s="127"/>
      <c r="N70" s="127"/>
      <c r="O70" s="127"/>
      <c r="P70" s="127"/>
      <c r="Q70" s="127"/>
      <c r="R70" s="127"/>
      <c r="S70" s="320">
        <v>2</v>
      </c>
      <c r="T70" s="321">
        <f>SUM(T71:T73)</f>
        <v>0</v>
      </c>
      <c r="U70" s="322"/>
      <c r="V70" s="127" t="s">
        <v>121</v>
      </c>
      <c r="W70" s="127"/>
      <c r="X70" s="127"/>
      <c r="Y70" s="127"/>
      <c r="Z70" s="127"/>
      <c r="AA70" s="127"/>
      <c r="AB70" s="127"/>
      <c r="AC70" s="127"/>
      <c r="AD70" s="127"/>
      <c r="AE70" s="127"/>
      <c r="AF70" s="127"/>
      <c r="AG70" s="127"/>
    </row>
    <row r="71" spans="2:33" s="319" customFormat="1" ht="15" customHeight="1" x14ac:dyDescent="0.3">
      <c r="B71" s="323"/>
      <c r="C71" s="324">
        <f>IF(F71="X",1,0)</f>
        <v>0</v>
      </c>
      <c r="D71" s="325"/>
      <c r="E71" s="295"/>
      <c r="F71" s="303"/>
      <c r="G71" s="434" t="s">
        <v>379</v>
      </c>
      <c r="H71" s="434"/>
      <c r="I71" s="434"/>
      <c r="J71" s="434"/>
      <c r="K71" s="434"/>
      <c r="L71" s="434"/>
      <c r="M71" s="434"/>
      <c r="N71" s="434"/>
      <c r="O71" s="434"/>
      <c r="P71" s="434"/>
      <c r="Q71" s="335"/>
      <c r="R71" s="127"/>
      <c r="S71" s="323"/>
      <c r="T71" s="324">
        <f>IF(W71="X",1,0)</f>
        <v>0</v>
      </c>
      <c r="U71" s="325"/>
      <c r="V71" s="295"/>
      <c r="W71" s="366"/>
      <c r="X71" s="434" t="s">
        <v>379</v>
      </c>
      <c r="Y71" s="434"/>
      <c r="Z71" s="434"/>
      <c r="AA71" s="434"/>
      <c r="AB71" s="434"/>
      <c r="AC71" s="434"/>
      <c r="AD71" s="434"/>
      <c r="AE71" s="434"/>
      <c r="AF71" s="434"/>
      <c r="AG71" s="434"/>
    </row>
    <row r="72" spans="2:33" x14ac:dyDescent="0.3">
      <c r="B72" s="306"/>
      <c r="C72" s="307"/>
      <c r="G72" s="434"/>
      <c r="H72" s="434"/>
      <c r="I72" s="434"/>
      <c r="J72" s="434"/>
      <c r="K72" s="434"/>
      <c r="L72" s="434"/>
      <c r="M72" s="434"/>
      <c r="N72" s="434"/>
      <c r="O72" s="434"/>
      <c r="P72" s="434"/>
      <c r="Q72" s="335"/>
      <c r="S72" s="306"/>
      <c r="T72" s="307"/>
      <c r="X72" s="434"/>
      <c r="Y72" s="434"/>
      <c r="Z72" s="434"/>
      <c r="AA72" s="434"/>
      <c r="AB72" s="434"/>
      <c r="AC72" s="434"/>
      <c r="AD72" s="434"/>
      <c r="AE72" s="434"/>
      <c r="AF72" s="434"/>
      <c r="AG72" s="434"/>
    </row>
    <row r="73" spans="2:33" ht="15" customHeight="1" x14ac:dyDescent="0.3">
      <c r="B73" s="306"/>
      <c r="C73" s="307">
        <f>IF(F73="X",1,0)</f>
        <v>0</v>
      </c>
      <c r="F73" s="303"/>
      <c r="G73" s="434" t="s">
        <v>132</v>
      </c>
      <c r="H73" s="434"/>
      <c r="I73" s="434"/>
      <c r="J73" s="434"/>
      <c r="K73" s="434"/>
      <c r="L73" s="434"/>
      <c r="M73" s="434"/>
      <c r="N73" s="434"/>
      <c r="O73" s="434"/>
      <c r="P73" s="434"/>
      <c r="Q73" s="335"/>
      <c r="S73" s="306"/>
      <c r="T73" s="307">
        <f>IF(W73="X",1,0)</f>
        <v>0</v>
      </c>
      <c r="W73" s="366"/>
      <c r="X73" s="434" t="s">
        <v>132</v>
      </c>
      <c r="Y73" s="434"/>
      <c r="Z73" s="434"/>
      <c r="AA73" s="434"/>
      <c r="AB73" s="434"/>
      <c r="AC73" s="434"/>
      <c r="AD73" s="434"/>
      <c r="AE73" s="434"/>
      <c r="AF73" s="434"/>
      <c r="AG73" s="434"/>
    </row>
    <row r="74" spans="2:33" ht="12" customHeight="1" x14ac:dyDescent="0.3">
      <c r="B74" s="306"/>
      <c r="C74" s="307"/>
      <c r="G74" s="434"/>
      <c r="H74" s="434"/>
      <c r="I74" s="434"/>
      <c r="J74" s="434"/>
      <c r="K74" s="434"/>
      <c r="L74" s="434"/>
      <c r="M74" s="434"/>
      <c r="N74" s="434"/>
      <c r="O74" s="434"/>
      <c r="P74" s="434"/>
      <c r="Q74" s="335"/>
      <c r="S74" s="306"/>
      <c r="T74" s="307"/>
      <c r="X74" s="434"/>
      <c r="Y74" s="434"/>
      <c r="Z74" s="434"/>
      <c r="AA74" s="434"/>
      <c r="AB74" s="434"/>
      <c r="AC74" s="434"/>
      <c r="AD74" s="434"/>
      <c r="AE74" s="434"/>
      <c r="AF74" s="434"/>
      <c r="AG74" s="434"/>
    </row>
    <row r="75" spans="2:33" x14ac:dyDescent="0.3">
      <c r="B75" s="308">
        <v>4</v>
      </c>
      <c r="C75" s="309">
        <f>SUM(C76:C92)</f>
        <v>0</v>
      </c>
      <c r="D75" s="351"/>
      <c r="E75" s="127" t="s">
        <v>106</v>
      </c>
      <c r="S75" s="308">
        <v>4</v>
      </c>
      <c r="T75" s="309">
        <f>SUM(T76:T92)</f>
        <v>0</v>
      </c>
      <c r="U75" s="351"/>
      <c r="V75" s="127" t="s">
        <v>106</v>
      </c>
    </row>
    <row r="76" spans="2:33" ht="15" customHeight="1" x14ac:dyDescent="0.3">
      <c r="B76" s="306"/>
      <c r="C76" s="307">
        <f>IF(F76="X",1,0)</f>
        <v>0</v>
      </c>
      <c r="F76" s="303"/>
      <c r="G76" s="434" t="s">
        <v>380</v>
      </c>
      <c r="H76" s="434"/>
      <c r="I76" s="434"/>
      <c r="J76" s="434"/>
      <c r="K76" s="434"/>
      <c r="L76" s="434"/>
      <c r="M76" s="434"/>
      <c r="N76" s="434"/>
      <c r="O76" s="434"/>
      <c r="P76" s="434"/>
      <c r="Q76" s="335"/>
      <c r="S76" s="306"/>
      <c r="T76" s="307">
        <f>IF(W76="X",1,0)</f>
        <v>0</v>
      </c>
      <c r="W76" s="366"/>
      <c r="X76" s="434" t="s">
        <v>380</v>
      </c>
      <c r="Y76" s="434"/>
      <c r="Z76" s="434"/>
      <c r="AA76" s="434"/>
      <c r="AB76" s="434"/>
      <c r="AC76" s="434"/>
      <c r="AD76" s="434"/>
      <c r="AE76" s="434"/>
      <c r="AF76" s="434"/>
      <c r="AG76" s="434"/>
    </row>
    <row r="77" spans="2:33" x14ac:dyDescent="0.3">
      <c r="B77" s="306"/>
      <c r="C77" s="307"/>
      <c r="G77" s="434"/>
      <c r="H77" s="434"/>
      <c r="I77" s="434"/>
      <c r="J77" s="434"/>
      <c r="K77" s="434"/>
      <c r="L77" s="434"/>
      <c r="M77" s="434"/>
      <c r="N77" s="434"/>
      <c r="O77" s="434"/>
      <c r="P77" s="434"/>
      <c r="Q77" s="335"/>
      <c r="S77" s="306"/>
      <c r="T77" s="307"/>
      <c r="X77" s="434"/>
      <c r="Y77" s="434"/>
      <c r="Z77" s="434"/>
      <c r="AA77" s="434"/>
      <c r="AB77" s="434"/>
      <c r="AC77" s="434"/>
      <c r="AD77" s="434"/>
      <c r="AE77" s="434"/>
      <c r="AF77" s="434"/>
      <c r="AG77" s="434"/>
    </row>
    <row r="78" spans="2:33" ht="15.75" hidden="1" customHeight="1" x14ac:dyDescent="0.3">
      <c r="B78" s="306"/>
      <c r="C78" s="307">
        <f>IF(F78="X",1,0)</f>
        <v>0</v>
      </c>
      <c r="E78" s="214"/>
      <c r="F78" s="366"/>
      <c r="G78" s="434" t="s">
        <v>96</v>
      </c>
      <c r="H78" s="434"/>
      <c r="I78" s="434"/>
      <c r="J78" s="434"/>
      <c r="K78" s="434"/>
      <c r="L78" s="434"/>
      <c r="M78" s="434"/>
      <c r="N78" s="434"/>
      <c r="O78" s="434"/>
      <c r="P78" s="434"/>
      <c r="Q78" s="335"/>
      <c r="S78" s="306"/>
      <c r="T78" s="307">
        <f>IF(W78="X",1,0)</f>
        <v>0</v>
      </c>
      <c r="V78" s="214"/>
      <c r="W78" s="366"/>
      <c r="X78" s="434" t="s">
        <v>96</v>
      </c>
      <c r="Y78" s="434"/>
      <c r="Z78" s="434"/>
      <c r="AA78" s="434"/>
      <c r="AB78" s="434"/>
      <c r="AC78" s="434"/>
      <c r="AD78" s="434"/>
      <c r="AE78" s="434"/>
      <c r="AF78" s="434"/>
      <c r="AG78" s="434"/>
    </row>
    <row r="79" spans="2:33" ht="15" hidden="1" customHeight="1" x14ac:dyDescent="0.3">
      <c r="B79" s="306"/>
      <c r="C79" s="307"/>
      <c r="G79" s="434"/>
      <c r="H79" s="434"/>
      <c r="I79" s="434"/>
      <c r="J79" s="434"/>
      <c r="K79" s="434"/>
      <c r="L79" s="434"/>
      <c r="M79" s="434"/>
      <c r="N79" s="434"/>
      <c r="O79" s="434"/>
      <c r="P79" s="434"/>
      <c r="Q79" s="335"/>
      <c r="S79" s="306"/>
      <c r="T79" s="307"/>
      <c r="X79" s="434"/>
      <c r="Y79" s="434"/>
      <c r="Z79" s="434"/>
      <c r="AA79" s="434"/>
      <c r="AB79" s="434"/>
      <c r="AC79" s="434"/>
      <c r="AD79" s="434"/>
      <c r="AE79" s="434"/>
      <c r="AF79" s="434"/>
      <c r="AG79" s="434"/>
    </row>
    <row r="80" spans="2:33" ht="15" hidden="1" customHeight="1" x14ac:dyDescent="0.3">
      <c r="B80" s="306"/>
      <c r="C80" s="307"/>
      <c r="G80" s="335"/>
      <c r="H80" s="335"/>
      <c r="I80" s="335"/>
      <c r="J80" s="335"/>
      <c r="K80" s="335"/>
      <c r="L80" s="335"/>
      <c r="M80" s="335"/>
      <c r="N80" s="335"/>
      <c r="O80" s="335"/>
      <c r="P80" s="335"/>
      <c r="Q80" s="335"/>
      <c r="S80" s="306"/>
      <c r="T80" s="307"/>
      <c r="X80" s="335"/>
      <c r="Y80" s="335"/>
      <c r="Z80" s="335"/>
      <c r="AA80" s="335"/>
      <c r="AB80" s="335"/>
      <c r="AC80" s="335"/>
      <c r="AD80" s="335"/>
      <c r="AE80" s="335"/>
      <c r="AF80" s="335"/>
      <c r="AG80" s="335"/>
    </row>
    <row r="81" spans="2:33" ht="15" customHeight="1" x14ac:dyDescent="0.3">
      <c r="B81" s="306"/>
      <c r="C81" s="307">
        <f>IF(F81&lt;&gt;"",1,0)</f>
        <v>0</v>
      </c>
      <c r="F81" s="303"/>
      <c r="G81" s="434" t="s">
        <v>550</v>
      </c>
      <c r="H81" s="434"/>
      <c r="I81" s="434"/>
      <c r="J81" s="434"/>
      <c r="K81" s="434"/>
      <c r="L81" s="434"/>
      <c r="M81" s="434"/>
      <c r="N81" s="434"/>
      <c r="O81" s="434"/>
      <c r="P81" s="434"/>
      <c r="Q81" s="335"/>
      <c r="S81" s="306"/>
      <c r="T81" s="307">
        <f>IF(W81&lt;&gt;"",1,0)</f>
        <v>0</v>
      </c>
      <c r="W81" s="366"/>
      <c r="X81" s="434" t="s">
        <v>550</v>
      </c>
      <c r="Y81" s="434"/>
      <c r="Z81" s="434"/>
      <c r="AA81" s="434"/>
      <c r="AB81" s="434"/>
      <c r="AC81" s="434"/>
      <c r="AD81" s="434"/>
      <c r="AE81" s="434"/>
      <c r="AF81" s="434"/>
      <c r="AG81" s="434"/>
    </row>
    <row r="82" spans="2:33" ht="223.5" customHeight="1" x14ac:dyDescent="0.3">
      <c r="B82" s="306"/>
      <c r="C82" s="307"/>
      <c r="G82" s="434"/>
      <c r="H82" s="434"/>
      <c r="I82" s="434"/>
      <c r="J82" s="434"/>
      <c r="K82" s="434"/>
      <c r="L82" s="434"/>
      <c r="M82" s="434"/>
      <c r="N82" s="434"/>
      <c r="O82" s="434"/>
      <c r="P82" s="434"/>
      <c r="Q82" s="335"/>
      <c r="S82" s="306"/>
      <c r="T82" s="307"/>
      <c r="X82" s="434"/>
      <c r="Y82" s="434"/>
      <c r="Z82" s="434"/>
      <c r="AA82" s="434"/>
      <c r="AB82" s="434"/>
      <c r="AC82" s="434"/>
      <c r="AD82" s="434"/>
      <c r="AE82" s="434"/>
      <c r="AF82" s="434"/>
      <c r="AG82" s="434"/>
    </row>
    <row r="83" spans="2:33" ht="15" hidden="1" customHeight="1" x14ac:dyDescent="0.3">
      <c r="B83" s="306"/>
      <c r="C83" s="307"/>
      <c r="G83" s="335"/>
      <c r="H83" s="335"/>
      <c r="I83" s="335"/>
      <c r="J83" s="335"/>
      <c r="K83" s="335"/>
      <c r="L83" s="335"/>
      <c r="M83" s="335"/>
      <c r="N83" s="335"/>
      <c r="O83" s="335"/>
      <c r="P83" s="335"/>
      <c r="Q83" s="335"/>
      <c r="S83" s="306"/>
      <c r="T83" s="307"/>
      <c r="X83" s="335"/>
      <c r="Y83" s="335"/>
      <c r="Z83" s="335"/>
      <c r="AA83" s="335"/>
      <c r="AB83" s="335"/>
      <c r="AC83" s="335"/>
      <c r="AD83" s="335"/>
      <c r="AE83" s="335"/>
      <c r="AF83" s="335"/>
      <c r="AG83" s="335"/>
    </row>
    <row r="84" spans="2:33" ht="15" hidden="1" customHeight="1" x14ac:dyDescent="0.3">
      <c r="B84" s="306"/>
      <c r="C84" s="307"/>
      <c r="F84" s="366"/>
      <c r="G84" s="436" t="s">
        <v>402</v>
      </c>
      <c r="H84" s="436"/>
      <c r="I84" s="436"/>
      <c r="J84" s="436"/>
      <c r="K84" s="436"/>
      <c r="L84" s="436"/>
      <c r="M84" s="436"/>
      <c r="N84" s="436"/>
      <c r="O84" s="436"/>
      <c r="P84" s="436"/>
      <c r="Q84" s="335"/>
      <c r="S84" s="306"/>
      <c r="T84" s="307"/>
      <c r="W84" s="366"/>
      <c r="X84" s="436" t="s">
        <v>402</v>
      </c>
      <c r="Y84" s="436"/>
      <c r="Z84" s="436"/>
      <c r="AA84" s="436"/>
      <c r="AB84" s="436"/>
      <c r="AC84" s="436"/>
      <c r="AD84" s="436"/>
      <c r="AE84" s="436"/>
      <c r="AF84" s="436"/>
      <c r="AG84" s="436"/>
    </row>
    <row r="85" spans="2:33" ht="15" hidden="1" customHeight="1" x14ac:dyDescent="0.3">
      <c r="B85" s="306"/>
      <c r="C85" s="307"/>
      <c r="G85" s="436"/>
      <c r="H85" s="436"/>
      <c r="I85" s="436"/>
      <c r="J85" s="436"/>
      <c r="K85" s="436"/>
      <c r="L85" s="436"/>
      <c r="M85" s="436"/>
      <c r="N85" s="436"/>
      <c r="O85" s="436"/>
      <c r="P85" s="436"/>
      <c r="Q85" s="335"/>
      <c r="S85" s="306"/>
      <c r="T85" s="307"/>
      <c r="X85" s="436"/>
      <c r="Y85" s="436"/>
      <c r="Z85" s="436"/>
      <c r="AA85" s="436"/>
      <c r="AB85" s="436"/>
      <c r="AC85" s="436"/>
      <c r="AD85" s="436"/>
      <c r="AE85" s="436"/>
      <c r="AF85" s="436"/>
      <c r="AG85" s="436"/>
    </row>
    <row r="86" spans="2:33" ht="14.4" hidden="1" customHeight="1" x14ac:dyDescent="0.3">
      <c r="B86" s="306"/>
      <c r="C86" s="307"/>
      <c r="F86" s="366"/>
      <c r="G86" s="434" t="s">
        <v>403</v>
      </c>
      <c r="H86" s="434"/>
      <c r="I86" s="434"/>
      <c r="J86" s="434"/>
      <c r="K86" s="434"/>
      <c r="L86" s="434"/>
      <c r="M86" s="434"/>
      <c r="N86" s="434"/>
      <c r="O86" s="434"/>
      <c r="P86" s="434"/>
      <c r="Q86" s="335"/>
      <c r="S86" s="306"/>
      <c r="T86" s="307"/>
      <c r="W86" s="366"/>
      <c r="X86" s="434" t="s">
        <v>403</v>
      </c>
      <c r="Y86" s="434"/>
      <c r="Z86" s="434"/>
      <c r="AA86" s="434"/>
      <c r="AB86" s="434"/>
      <c r="AC86" s="434"/>
      <c r="AD86" s="434"/>
      <c r="AE86" s="434"/>
      <c r="AF86" s="434"/>
      <c r="AG86" s="434"/>
    </row>
    <row r="87" spans="2:33" ht="30" hidden="1" customHeight="1" x14ac:dyDescent="0.3">
      <c r="B87" s="306"/>
      <c r="C87" s="307"/>
      <c r="G87" s="434"/>
      <c r="H87" s="434"/>
      <c r="I87" s="434"/>
      <c r="J87" s="434"/>
      <c r="K87" s="434"/>
      <c r="L87" s="434"/>
      <c r="M87" s="434"/>
      <c r="N87" s="434"/>
      <c r="O87" s="434"/>
      <c r="P87" s="434"/>
      <c r="Q87" s="335"/>
      <c r="S87" s="306"/>
      <c r="T87" s="307"/>
      <c r="X87" s="434"/>
      <c r="Y87" s="434"/>
      <c r="Z87" s="434"/>
      <c r="AA87" s="434"/>
      <c r="AB87" s="434"/>
      <c r="AC87" s="434"/>
      <c r="AD87" s="434"/>
      <c r="AE87" s="434"/>
      <c r="AF87" s="434"/>
      <c r="AG87" s="434"/>
    </row>
    <row r="88" spans="2:33" x14ac:dyDescent="0.3">
      <c r="B88" s="306"/>
      <c r="C88" s="307"/>
      <c r="G88" s="335"/>
      <c r="H88" s="335"/>
      <c r="I88" s="335"/>
      <c r="J88" s="335"/>
      <c r="K88" s="335"/>
      <c r="L88" s="335"/>
      <c r="M88" s="335"/>
      <c r="N88" s="335"/>
      <c r="O88" s="335"/>
      <c r="P88" s="335"/>
      <c r="Q88" s="335"/>
      <c r="S88" s="306"/>
      <c r="T88" s="307"/>
      <c r="X88" s="335"/>
      <c r="Y88" s="335"/>
      <c r="Z88" s="335"/>
      <c r="AA88" s="335"/>
      <c r="AB88" s="335"/>
      <c r="AC88" s="335"/>
      <c r="AD88" s="335"/>
      <c r="AE88" s="335"/>
      <c r="AF88" s="335"/>
      <c r="AG88" s="335"/>
    </row>
    <row r="89" spans="2:33" ht="15.75" customHeight="1" x14ac:dyDescent="0.3">
      <c r="B89" s="306"/>
      <c r="C89" s="307">
        <f>IF(F89&lt;&gt;"",1,0)</f>
        <v>0</v>
      </c>
      <c r="F89" s="303"/>
      <c r="G89" s="434" t="s">
        <v>557</v>
      </c>
      <c r="H89" s="434"/>
      <c r="I89" s="434"/>
      <c r="J89" s="434"/>
      <c r="K89" s="434"/>
      <c r="L89" s="434"/>
      <c r="M89" s="434"/>
      <c r="N89" s="434"/>
      <c r="O89" s="434"/>
      <c r="P89" s="434"/>
      <c r="Q89" s="335"/>
      <c r="S89" s="306"/>
      <c r="T89" s="307">
        <f>IF(W89&lt;&gt;"",1,0)</f>
        <v>0</v>
      </c>
      <c r="W89" s="366"/>
      <c r="X89" s="434" t="s">
        <v>557</v>
      </c>
      <c r="Y89" s="434"/>
      <c r="Z89" s="434"/>
      <c r="AA89" s="434"/>
      <c r="AB89" s="434"/>
      <c r="AC89" s="434"/>
      <c r="AD89" s="434"/>
      <c r="AE89" s="434"/>
      <c r="AF89" s="434"/>
      <c r="AG89" s="434"/>
    </row>
    <row r="90" spans="2:33" x14ac:dyDescent="0.3">
      <c r="B90" s="306"/>
      <c r="C90" s="307"/>
      <c r="G90" s="434"/>
      <c r="H90" s="434"/>
      <c r="I90" s="434"/>
      <c r="J90" s="434"/>
      <c r="K90" s="434"/>
      <c r="L90" s="434"/>
      <c r="M90" s="434"/>
      <c r="N90" s="434"/>
      <c r="O90" s="434"/>
      <c r="P90" s="434"/>
      <c r="Q90" s="335"/>
      <c r="S90" s="306"/>
      <c r="T90" s="307"/>
      <c r="X90" s="434"/>
      <c r="Y90" s="434"/>
      <c r="Z90" s="434"/>
      <c r="AA90" s="434"/>
      <c r="AB90" s="434"/>
      <c r="AC90" s="434"/>
      <c r="AD90" s="434"/>
      <c r="AE90" s="434"/>
      <c r="AF90" s="434"/>
      <c r="AG90" s="434"/>
    </row>
    <row r="91" spans="2:33" x14ac:dyDescent="0.3">
      <c r="B91" s="306"/>
      <c r="C91" s="307"/>
      <c r="G91" s="335"/>
      <c r="H91" s="335"/>
      <c r="I91" s="335"/>
      <c r="J91" s="335"/>
      <c r="K91" s="335"/>
      <c r="L91" s="335"/>
      <c r="M91" s="335"/>
      <c r="N91" s="335"/>
      <c r="O91" s="335"/>
      <c r="P91" s="335"/>
      <c r="Q91" s="335"/>
      <c r="S91" s="306"/>
      <c r="T91" s="307"/>
      <c r="X91" s="335"/>
      <c r="Y91" s="335"/>
      <c r="Z91" s="335"/>
      <c r="AA91" s="335"/>
      <c r="AB91" s="335"/>
      <c r="AC91" s="335"/>
      <c r="AD91" s="335"/>
      <c r="AE91" s="335"/>
      <c r="AF91" s="335"/>
      <c r="AG91" s="335"/>
    </row>
    <row r="92" spans="2:33" x14ac:dyDescent="0.3">
      <c r="B92" s="306"/>
      <c r="C92" s="307">
        <f>IF(F92&lt;&gt;"",1,0)</f>
        <v>0</v>
      </c>
      <c r="F92" s="303"/>
      <c r="G92" s="435" t="s">
        <v>551</v>
      </c>
      <c r="H92" s="434"/>
      <c r="I92" s="434"/>
      <c r="J92" s="434"/>
      <c r="K92" s="434"/>
      <c r="L92" s="434"/>
      <c r="M92" s="434"/>
      <c r="N92" s="434"/>
      <c r="O92" s="434"/>
      <c r="P92" s="434"/>
      <c r="Q92" s="335"/>
      <c r="S92" s="306"/>
      <c r="T92" s="307">
        <f>IF(W92&lt;&gt;"",1,0)</f>
        <v>0</v>
      </c>
      <c r="W92" s="366"/>
      <c r="X92" s="435" t="s">
        <v>551</v>
      </c>
      <c r="Y92" s="434"/>
      <c r="Z92" s="434"/>
      <c r="AA92" s="434"/>
      <c r="AB92" s="434"/>
      <c r="AC92" s="434"/>
      <c r="AD92" s="434"/>
      <c r="AE92" s="434"/>
      <c r="AF92" s="434"/>
      <c r="AG92" s="434"/>
    </row>
    <row r="93" spans="2:33" x14ac:dyDescent="0.3">
      <c r="B93" s="306"/>
      <c r="C93" s="307"/>
      <c r="G93" s="155"/>
      <c r="H93" s="155"/>
      <c r="I93" s="155"/>
      <c r="J93" s="155"/>
      <c r="K93" s="155"/>
      <c r="L93" s="155"/>
      <c r="M93" s="155"/>
      <c r="N93" s="155"/>
      <c r="O93" s="155"/>
      <c r="P93" s="155"/>
      <c r="Q93" s="335"/>
      <c r="S93" s="306"/>
      <c r="T93" s="307"/>
      <c r="X93" s="155"/>
      <c r="Y93" s="155"/>
      <c r="Z93" s="155"/>
      <c r="AA93" s="155"/>
      <c r="AB93" s="155"/>
      <c r="AC93" s="155"/>
      <c r="AD93" s="155"/>
      <c r="AE93" s="155"/>
      <c r="AF93" s="155"/>
      <c r="AG93" s="155"/>
    </row>
    <row r="94" spans="2:33" x14ac:dyDescent="0.3">
      <c r="B94" s="308">
        <v>2</v>
      </c>
      <c r="C94" s="309">
        <f>SUM(C95:C99)</f>
        <v>0</v>
      </c>
      <c r="D94" s="351"/>
      <c r="E94" s="127" t="s">
        <v>107</v>
      </c>
      <c r="S94" s="308">
        <v>2</v>
      </c>
      <c r="T94" s="309">
        <f>SUM(T95:T99)</f>
        <v>0</v>
      </c>
      <c r="U94" s="351"/>
      <c r="V94" s="127" t="s">
        <v>107</v>
      </c>
    </row>
    <row r="95" spans="2:33" ht="15.75" customHeight="1" x14ac:dyDescent="0.3">
      <c r="B95" s="306"/>
      <c r="C95" s="307">
        <f>IF(F95="X",1,0)</f>
        <v>0</v>
      </c>
      <c r="F95" s="303"/>
      <c r="G95" s="435" t="s">
        <v>381</v>
      </c>
      <c r="H95" s="434"/>
      <c r="I95" s="434"/>
      <c r="J95" s="434"/>
      <c r="K95" s="434"/>
      <c r="L95" s="434"/>
      <c r="M95" s="434"/>
      <c r="N95" s="434"/>
      <c r="O95" s="434"/>
      <c r="P95" s="434"/>
      <c r="Q95" s="335"/>
      <c r="S95" s="306"/>
      <c r="T95" s="307">
        <f>IF(W95="X",1,0)</f>
        <v>0</v>
      </c>
      <c r="W95" s="366"/>
      <c r="X95" s="435" t="s">
        <v>381</v>
      </c>
      <c r="Y95" s="434"/>
      <c r="Z95" s="434"/>
      <c r="AA95" s="434"/>
      <c r="AB95" s="434"/>
      <c r="AC95" s="434"/>
      <c r="AD95" s="434"/>
      <c r="AE95" s="434"/>
      <c r="AF95" s="434"/>
      <c r="AG95" s="434"/>
    </row>
    <row r="96" spans="2:33" x14ac:dyDescent="0.3">
      <c r="B96" s="306"/>
      <c r="C96" s="307"/>
      <c r="G96" s="155"/>
      <c r="H96" s="155"/>
      <c r="I96" s="155"/>
      <c r="J96" s="155"/>
      <c r="K96" s="155"/>
      <c r="L96" s="155"/>
      <c r="M96" s="155"/>
      <c r="N96" s="155"/>
      <c r="O96" s="155"/>
      <c r="P96" s="155"/>
      <c r="Q96" s="335"/>
      <c r="S96" s="306"/>
      <c r="T96" s="307"/>
      <c r="X96" s="155"/>
      <c r="Y96" s="155"/>
      <c r="Z96" s="155"/>
      <c r="AA96" s="155"/>
      <c r="AB96" s="155"/>
      <c r="AC96" s="155"/>
      <c r="AD96" s="155"/>
      <c r="AE96" s="155"/>
      <c r="AF96" s="155"/>
      <c r="AG96" s="155"/>
    </row>
    <row r="97" spans="2:33" x14ac:dyDescent="0.3">
      <c r="B97" s="306"/>
      <c r="C97" s="307">
        <f>IF(F97="X",1,0)</f>
        <v>0</v>
      </c>
      <c r="F97" s="303"/>
      <c r="G97" s="127" t="s">
        <v>633</v>
      </c>
      <c r="Q97" s="335"/>
      <c r="S97" s="306"/>
      <c r="T97" s="307">
        <f>IF(W97="X",1,0)</f>
        <v>0</v>
      </c>
      <c r="W97" s="366"/>
      <c r="X97" s="127" t="s">
        <v>404</v>
      </c>
    </row>
    <row r="98" spans="2:33" hidden="1" x14ac:dyDescent="0.3">
      <c r="B98" s="306"/>
      <c r="C98" s="307">
        <f>IF(G98="X",1,0)</f>
        <v>0</v>
      </c>
      <c r="G98" s="303"/>
      <c r="H98" s="127" t="s">
        <v>105</v>
      </c>
      <c r="Q98" s="335"/>
      <c r="S98" s="306"/>
      <c r="T98" s="307">
        <f>IF(X98="X",1,0)</f>
        <v>0</v>
      </c>
      <c r="X98" s="366"/>
      <c r="Y98" s="127" t="s">
        <v>105</v>
      </c>
    </row>
    <row r="99" spans="2:33" ht="14.4" customHeight="1" x14ac:dyDescent="0.3">
      <c r="B99" s="306"/>
      <c r="C99" s="307"/>
      <c r="I99" s="155"/>
      <c r="J99" s="155"/>
      <c r="K99" s="155"/>
      <c r="L99" s="155"/>
      <c r="M99" s="155"/>
      <c r="N99" s="155"/>
      <c r="O99" s="155"/>
      <c r="P99" s="155"/>
      <c r="Q99" s="335"/>
      <c r="S99" s="306"/>
      <c r="T99" s="307"/>
      <c r="Z99" s="155"/>
      <c r="AA99" s="155"/>
      <c r="AB99" s="155"/>
      <c r="AC99" s="155"/>
      <c r="AD99" s="155"/>
      <c r="AE99" s="155"/>
      <c r="AF99" s="155"/>
      <c r="AG99" s="155"/>
    </row>
    <row r="100" spans="2:33" ht="15.6" customHeight="1" x14ac:dyDescent="0.3">
      <c r="B100" s="306"/>
      <c r="C100" s="307"/>
      <c r="G100" s="335"/>
      <c r="H100" s="335"/>
      <c r="I100" s="335"/>
      <c r="J100" s="335"/>
      <c r="K100" s="335"/>
      <c r="L100" s="335"/>
      <c r="M100" s="335"/>
      <c r="N100" s="335"/>
      <c r="O100" s="335"/>
      <c r="P100" s="335"/>
      <c r="Q100" s="335"/>
      <c r="S100" s="306"/>
      <c r="T100" s="307"/>
      <c r="X100" s="335"/>
      <c r="Y100" s="335"/>
      <c r="Z100" s="335"/>
      <c r="AA100" s="335"/>
      <c r="AB100" s="335"/>
      <c r="AC100" s="335"/>
      <c r="AD100" s="335"/>
      <c r="AE100" s="335"/>
      <c r="AF100" s="335"/>
      <c r="AG100" s="335"/>
    </row>
    <row r="101" spans="2:33" ht="22.5" customHeight="1" thickBot="1" x14ac:dyDescent="0.35">
      <c r="B101" s="306"/>
      <c r="C101" s="307"/>
      <c r="E101" s="126" t="s">
        <v>91</v>
      </c>
      <c r="F101" s="298"/>
      <c r="G101" s="298"/>
      <c r="H101" s="298"/>
      <c r="I101" s="298"/>
      <c r="J101" s="298"/>
      <c r="K101" s="298"/>
      <c r="L101" s="298"/>
      <c r="M101" s="298"/>
      <c r="N101" s="298"/>
      <c r="O101" s="298"/>
      <c r="P101" s="298"/>
      <c r="S101" s="306"/>
      <c r="T101" s="307"/>
      <c r="V101" s="126" t="s">
        <v>91</v>
      </c>
      <c r="W101" s="298"/>
      <c r="X101" s="298"/>
      <c r="Y101" s="298"/>
      <c r="Z101" s="298"/>
      <c r="AA101" s="298"/>
      <c r="AB101" s="298"/>
      <c r="AC101" s="298"/>
      <c r="AD101" s="298"/>
      <c r="AE101" s="298"/>
      <c r="AF101" s="298"/>
      <c r="AG101" s="298"/>
    </row>
    <row r="102" spans="2:33" ht="14.25" customHeight="1" x14ac:dyDescent="0.3">
      <c r="B102" s="306"/>
      <c r="C102" s="307"/>
      <c r="E102" s="128"/>
      <c r="S102" s="306"/>
      <c r="T102" s="307"/>
      <c r="V102" s="128"/>
    </row>
    <row r="103" spans="2:33" ht="14.25" customHeight="1" x14ac:dyDescent="0.3">
      <c r="B103" s="308">
        <v>2</v>
      </c>
      <c r="C103" s="309">
        <f>SUM(C104:C106)</f>
        <v>0</v>
      </c>
      <c r="D103" s="351"/>
      <c r="E103" s="127" t="s">
        <v>134</v>
      </c>
      <c r="S103" s="308">
        <v>2</v>
      </c>
      <c r="T103" s="309">
        <f>SUM(T104:T106)</f>
        <v>0</v>
      </c>
      <c r="U103" s="351"/>
      <c r="V103" s="127" t="s">
        <v>134</v>
      </c>
    </row>
    <row r="104" spans="2:33" ht="14.25" customHeight="1" x14ac:dyDescent="0.3">
      <c r="B104" s="306"/>
      <c r="C104" s="307">
        <f>IF(F104="X",1,0)</f>
        <v>0</v>
      </c>
      <c r="F104" s="303"/>
      <c r="G104" s="434" t="s">
        <v>382</v>
      </c>
      <c r="H104" s="434"/>
      <c r="I104" s="434"/>
      <c r="J104" s="434"/>
      <c r="K104" s="434"/>
      <c r="L104" s="434"/>
      <c r="M104" s="434"/>
      <c r="N104" s="434"/>
      <c r="O104" s="434"/>
      <c r="P104" s="434"/>
      <c r="Q104" s="335"/>
      <c r="S104" s="306"/>
      <c r="T104" s="307">
        <f>IF(W104="X",1,0)</f>
        <v>0</v>
      </c>
      <c r="W104" s="366"/>
      <c r="X104" s="434" t="s">
        <v>382</v>
      </c>
      <c r="Y104" s="434"/>
      <c r="Z104" s="434"/>
      <c r="AA104" s="434"/>
      <c r="AB104" s="434"/>
      <c r="AC104" s="434"/>
      <c r="AD104" s="434"/>
      <c r="AE104" s="434"/>
      <c r="AF104" s="434"/>
      <c r="AG104" s="434"/>
    </row>
    <row r="105" spans="2:33" ht="14.25" customHeight="1" x14ac:dyDescent="0.3">
      <c r="B105" s="306"/>
      <c r="C105" s="307"/>
      <c r="G105" s="434"/>
      <c r="H105" s="434"/>
      <c r="I105" s="434"/>
      <c r="J105" s="434"/>
      <c r="K105" s="434"/>
      <c r="L105" s="434"/>
      <c r="M105" s="434"/>
      <c r="N105" s="434"/>
      <c r="O105" s="434"/>
      <c r="P105" s="434"/>
      <c r="Q105" s="335"/>
      <c r="S105" s="306"/>
      <c r="T105" s="307"/>
      <c r="X105" s="434"/>
      <c r="Y105" s="434"/>
      <c r="Z105" s="434"/>
      <c r="AA105" s="434"/>
      <c r="AB105" s="434"/>
      <c r="AC105" s="434"/>
      <c r="AD105" s="434"/>
      <c r="AE105" s="434"/>
      <c r="AF105" s="434"/>
      <c r="AG105" s="434"/>
    </row>
    <row r="106" spans="2:33" ht="15" customHeight="1" x14ac:dyDescent="0.3">
      <c r="B106" s="306"/>
      <c r="C106" s="307">
        <f>IF(F106="X",1,0)</f>
        <v>0</v>
      </c>
      <c r="F106" s="303"/>
      <c r="G106" s="434" t="s">
        <v>491</v>
      </c>
      <c r="H106" s="434"/>
      <c r="I106" s="434"/>
      <c r="J106" s="434"/>
      <c r="K106" s="434"/>
      <c r="L106" s="434"/>
      <c r="M106" s="434"/>
      <c r="N106" s="434"/>
      <c r="O106" s="434"/>
      <c r="P106" s="434"/>
      <c r="Q106" s="335"/>
      <c r="S106" s="306"/>
      <c r="T106" s="307">
        <f>IF(W106="X",1,0)</f>
        <v>0</v>
      </c>
      <c r="W106" s="366"/>
      <c r="X106" s="434" t="s">
        <v>422</v>
      </c>
      <c r="Y106" s="434"/>
      <c r="Z106" s="434"/>
      <c r="AA106" s="434"/>
      <c r="AB106" s="434"/>
      <c r="AC106" s="434"/>
      <c r="AD106" s="434"/>
      <c r="AE106" s="434"/>
      <c r="AF106" s="434"/>
      <c r="AG106" s="434"/>
    </row>
    <row r="107" spans="2:33" ht="30" customHeight="1" x14ac:dyDescent="0.3">
      <c r="B107" s="306"/>
      <c r="C107" s="307"/>
      <c r="F107" s="214"/>
      <c r="G107" s="434"/>
      <c r="H107" s="434"/>
      <c r="I107" s="434"/>
      <c r="J107" s="434"/>
      <c r="K107" s="434"/>
      <c r="L107" s="434"/>
      <c r="M107" s="434"/>
      <c r="N107" s="434"/>
      <c r="O107" s="434"/>
      <c r="P107" s="434"/>
      <c r="Q107" s="335"/>
      <c r="S107" s="306"/>
      <c r="T107" s="307"/>
      <c r="W107" s="214"/>
      <c r="X107" s="434"/>
      <c r="Y107" s="434"/>
      <c r="Z107" s="434"/>
      <c r="AA107" s="434"/>
      <c r="AB107" s="434"/>
      <c r="AC107" s="434"/>
      <c r="AD107" s="434"/>
      <c r="AE107" s="434"/>
      <c r="AF107" s="434"/>
      <c r="AG107" s="434"/>
    </row>
    <row r="108" spans="2:33" x14ac:dyDescent="0.3">
      <c r="B108" s="306"/>
      <c r="C108" s="307"/>
      <c r="F108" s="214"/>
      <c r="G108" s="434"/>
      <c r="H108" s="434"/>
      <c r="I108" s="434"/>
      <c r="J108" s="434"/>
      <c r="K108" s="434"/>
      <c r="L108" s="434"/>
      <c r="M108" s="434"/>
      <c r="N108" s="434"/>
      <c r="O108" s="434"/>
      <c r="P108" s="434"/>
      <c r="Q108" s="335"/>
      <c r="S108" s="306"/>
      <c r="T108" s="307"/>
      <c r="W108" s="214"/>
      <c r="X108" s="434"/>
      <c r="Y108" s="434"/>
      <c r="Z108" s="434"/>
      <c r="AA108" s="434"/>
      <c r="AB108" s="434"/>
      <c r="AC108" s="434"/>
      <c r="AD108" s="434"/>
      <c r="AE108" s="434"/>
      <c r="AF108" s="434"/>
      <c r="AG108" s="434"/>
    </row>
    <row r="109" spans="2:33" ht="15" customHeight="1" x14ac:dyDescent="0.3">
      <c r="B109" s="308">
        <v>6</v>
      </c>
      <c r="C109" s="309">
        <f>SUM(C110:C124)</f>
        <v>0</v>
      </c>
      <c r="D109" s="351"/>
      <c r="E109" s="127" t="s">
        <v>331</v>
      </c>
      <c r="S109" s="308">
        <v>6</v>
      </c>
      <c r="T109" s="309">
        <f>SUM(T110:T124)</f>
        <v>0</v>
      </c>
      <c r="U109" s="351"/>
      <c r="V109" s="127" t="s">
        <v>331</v>
      </c>
    </row>
    <row r="110" spans="2:33" ht="15" customHeight="1" x14ac:dyDescent="0.3">
      <c r="B110" s="306"/>
      <c r="C110" s="307">
        <f>IF(F110="X",1,0)</f>
        <v>0</v>
      </c>
      <c r="F110" s="303"/>
      <c r="G110" s="435" t="s">
        <v>383</v>
      </c>
      <c r="H110" s="434"/>
      <c r="I110" s="434"/>
      <c r="J110" s="434"/>
      <c r="K110" s="434"/>
      <c r="L110" s="434"/>
      <c r="M110" s="434"/>
      <c r="N110" s="434"/>
      <c r="O110" s="434"/>
      <c r="P110" s="434"/>
      <c r="Q110" s="335"/>
      <c r="S110" s="306"/>
      <c r="T110" s="307">
        <f>IF(W110="X",1,0)</f>
        <v>0</v>
      </c>
      <c r="W110" s="366"/>
      <c r="X110" s="435" t="s">
        <v>383</v>
      </c>
      <c r="Y110" s="434"/>
      <c r="Z110" s="434"/>
      <c r="AA110" s="434"/>
      <c r="AB110" s="434"/>
      <c r="AC110" s="434"/>
      <c r="AD110" s="434"/>
      <c r="AE110" s="434"/>
      <c r="AF110" s="434"/>
      <c r="AG110" s="434"/>
    </row>
    <row r="111" spans="2:33" ht="15" customHeight="1" x14ac:dyDescent="0.3">
      <c r="B111" s="306"/>
      <c r="C111" s="307"/>
      <c r="F111" s="295"/>
      <c r="G111" s="155"/>
      <c r="H111" s="155"/>
      <c r="I111" s="155"/>
      <c r="J111" s="155"/>
      <c r="K111" s="155"/>
      <c r="L111" s="155"/>
      <c r="M111" s="155"/>
      <c r="N111" s="155"/>
      <c r="O111" s="155"/>
      <c r="P111" s="155"/>
      <c r="Q111" s="335"/>
      <c r="S111" s="306"/>
      <c r="T111" s="307"/>
      <c r="W111" s="295"/>
      <c r="X111" s="155"/>
      <c r="Y111" s="155"/>
      <c r="Z111" s="155"/>
      <c r="AA111" s="155"/>
      <c r="AB111" s="155"/>
      <c r="AC111" s="155"/>
      <c r="AD111" s="155"/>
      <c r="AE111" s="155"/>
      <c r="AF111" s="155"/>
      <c r="AG111" s="155"/>
    </row>
    <row r="112" spans="2:33" ht="15" customHeight="1" x14ac:dyDescent="0.3">
      <c r="B112" s="306"/>
      <c r="C112" s="307">
        <f>IF(OR(F112="X",F112="N/A"),1,0)</f>
        <v>0</v>
      </c>
      <c r="F112" s="303"/>
      <c r="G112" s="434" t="s">
        <v>641</v>
      </c>
      <c r="H112" s="434"/>
      <c r="I112" s="434"/>
      <c r="J112" s="434"/>
      <c r="K112" s="434"/>
      <c r="L112" s="434"/>
      <c r="M112" s="434"/>
      <c r="N112" s="434"/>
      <c r="O112" s="434"/>
      <c r="P112" s="434"/>
      <c r="Q112" s="335"/>
      <c r="S112" s="306"/>
      <c r="T112" s="307">
        <f>IF(OR(W112="X",W112="N/A"),1,0)</f>
        <v>0</v>
      </c>
      <c r="W112" s="366"/>
      <c r="X112" s="434" t="s">
        <v>641</v>
      </c>
      <c r="Y112" s="434"/>
      <c r="Z112" s="434"/>
      <c r="AA112" s="434"/>
      <c r="AB112" s="434"/>
      <c r="AC112" s="434"/>
      <c r="AD112" s="434"/>
      <c r="AE112" s="434"/>
      <c r="AF112" s="434"/>
      <c r="AG112" s="434"/>
    </row>
    <row r="113" spans="2:33" ht="94.5" customHeight="1" x14ac:dyDescent="0.3">
      <c r="B113" s="306"/>
      <c r="C113" s="307"/>
      <c r="G113" s="434"/>
      <c r="H113" s="434"/>
      <c r="I113" s="434"/>
      <c r="J113" s="434"/>
      <c r="K113" s="434"/>
      <c r="L113" s="434"/>
      <c r="M113" s="434"/>
      <c r="N113" s="434"/>
      <c r="O113" s="434"/>
      <c r="P113" s="434"/>
      <c r="Q113" s="335"/>
      <c r="S113" s="306"/>
      <c r="T113" s="307"/>
      <c r="X113" s="434"/>
      <c r="Y113" s="434"/>
      <c r="Z113" s="434"/>
      <c r="AA113" s="434"/>
      <c r="AB113" s="434"/>
      <c r="AC113" s="434"/>
      <c r="AD113" s="434"/>
      <c r="AE113" s="434"/>
      <c r="AF113" s="434"/>
      <c r="AG113" s="434"/>
    </row>
    <row r="114" spans="2:33" ht="15" customHeight="1" x14ac:dyDescent="0.3">
      <c r="B114" s="306"/>
      <c r="C114" s="307"/>
      <c r="G114" s="155"/>
      <c r="H114" s="155"/>
      <c r="I114" s="155"/>
      <c r="J114" s="155"/>
      <c r="K114" s="155"/>
      <c r="L114" s="155"/>
      <c r="M114" s="155"/>
      <c r="N114" s="155"/>
      <c r="O114" s="155"/>
      <c r="P114" s="155"/>
      <c r="Q114" s="335"/>
      <c r="S114" s="306"/>
      <c r="T114" s="307"/>
      <c r="X114" s="155"/>
      <c r="Y114" s="155"/>
      <c r="Z114" s="155"/>
      <c r="AA114" s="155"/>
      <c r="AB114" s="155"/>
      <c r="AC114" s="155"/>
      <c r="AD114" s="155"/>
      <c r="AE114" s="155"/>
      <c r="AF114" s="155"/>
      <c r="AG114" s="155"/>
    </row>
    <row r="115" spans="2:33" ht="15" customHeight="1" x14ac:dyDescent="0.3">
      <c r="B115" s="306"/>
      <c r="C115" s="307">
        <f>IF(OR(F115="X",F115="N/A"),1,0)</f>
        <v>0</v>
      </c>
      <c r="F115" s="303"/>
      <c r="G115" s="434" t="s">
        <v>642</v>
      </c>
      <c r="H115" s="434"/>
      <c r="I115" s="434"/>
      <c r="J115" s="434"/>
      <c r="K115" s="434"/>
      <c r="L115" s="434"/>
      <c r="M115" s="434"/>
      <c r="N115" s="434"/>
      <c r="O115" s="434"/>
      <c r="P115" s="434"/>
      <c r="Q115" s="335"/>
      <c r="S115" s="306"/>
      <c r="T115" s="307">
        <f>IF(OR(W115="X",W115="N/A"),1,0)</f>
        <v>0</v>
      </c>
      <c r="W115" s="366"/>
      <c r="X115" s="434" t="s">
        <v>642</v>
      </c>
      <c r="Y115" s="434"/>
      <c r="Z115" s="434"/>
      <c r="AA115" s="434"/>
      <c r="AB115" s="434"/>
      <c r="AC115" s="434"/>
      <c r="AD115" s="434"/>
      <c r="AE115" s="434"/>
      <c r="AF115" s="434"/>
      <c r="AG115" s="434"/>
    </row>
    <row r="116" spans="2:33" ht="112.5" customHeight="1" x14ac:dyDescent="0.3">
      <c r="B116" s="306"/>
      <c r="C116" s="307"/>
      <c r="G116" s="434"/>
      <c r="H116" s="434"/>
      <c r="I116" s="434"/>
      <c r="J116" s="434"/>
      <c r="K116" s="434"/>
      <c r="L116" s="434"/>
      <c r="M116" s="434"/>
      <c r="N116" s="434"/>
      <c r="O116" s="434"/>
      <c r="P116" s="434"/>
      <c r="Q116" s="335"/>
      <c r="S116" s="306"/>
      <c r="T116" s="307"/>
      <c r="X116" s="434"/>
      <c r="Y116" s="434"/>
      <c r="Z116" s="434"/>
      <c r="AA116" s="434"/>
      <c r="AB116" s="434"/>
      <c r="AC116" s="434"/>
      <c r="AD116" s="434"/>
      <c r="AE116" s="434"/>
      <c r="AF116" s="434"/>
      <c r="AG116" s="434"/>
    </row>
    <row r="117" spans="2:33" x14ac:dyDescent="0.3">
      <c r="B117" s="306"/>
      <c r="C117" s="307"/>
      <c r="G117" s="335"/>
      <c r="H117" s="335"/>
      <c r="I117" s="335"/>
      <c r="J117" s="335"/>
      <c r="K117" s="335"/>
      <c r="L117" s="335"/>
      <c r="M117" s="335"/>
      <c r="N117" s="335"/>
      <c r="O117" s="335"/>
      <c r="P117" s="335"/>
      <c r="Q117" s="335"/>
      <c r="S117" s="306"/>
      <c r="T117" s="307"/>
      <c r="X117" s="335"/>
      <c r="Y117" s="335"/>
      <c r="Z117" s="335"/>
      <c r="AA117" s="335"/>
      <c r="AB117" s="335"/>
      <c r="AC117" s="335"/>
      <c r="AD117" s="335"/>
      <c r="AE117" s="335"/>
      <c r="AF117" s="335"/>
      <c r="AG117" s="335"/>
    </row>
    <row r="118" spans="2:33" ht="15" customHeight="1" x14ac:dyDescent="0.3">
      <c r="B118" s="306"/>
      <c r="C118" s="307">
        <f>IF(OR(F118="X",F118="N/A"),1,0)</f>
        <v>0</v>
      </c>
      <c r="F118" s="303"/>
      <c r="G118" s="437" t="s">
        <v>675</v>
      </c>
      <c r="H118" s="437"/>
      <c r="I118" s="437"/>
      <c r="J118" s="437"/>
      <c r="K118" s="437"/>
      <c r="L118" s="437"/>
      <c r="M118" s="437"/>
      <c r="N118" s="437"/>
      <c r="O118" s="437"/>
      <c r="P118" s="437"/>
      <c r="Q118" s="335"/>
      <c r="S118" s="306"/>
      <c r="T118" s="307">
        <f>IF(OR(W118="X",W118="N/A"),1,0)</f>
        <v>0</v>
      </c>
      <c r="W118" s="366"/>
      <c r="X118" s="437" t="s">
        <v>640</v>
      </c>
      <c r="Y118" s="437"/>
      <c r="Z118" s="437"/>
      <c r="AA118" s="437"/>
      <c r="AB118" s="437"/>
      <c r="AC118" s="437"/>
      <c r="AD118" s="437"/>
      <c r="AE118" s="437"/>
      <c r="AF118" s="437"/>
      <c r="AG118" s="437"/>
    </row>
    <row r="119" spans="2:33" ht="48.75" customHeight="1" x14ac:dyDescent="0.3">
      <c r="B119" s="306"/>
      <c r="C119" s="307"/>
      <c r="G119" s="437"/>
      <c r="H119" s="437"/>
      <c r="I119" s="437"/>
      <c r="J119" s="437"/>
      <c r="K119" s="437"/>
      <c r="L119" s="437"/>
      <c r="M119" s="437"/>
      <c r="N119" s="437"/>
      <c r="O119" s="437"/>
      <c r="P119" s="437"/>
      <c r="Q119" s="335"/>
      <c r="S119" s="306"/>
      <c r="T119" s="307"/>
      <c r="X119" s="437"/>
      <c r="Y119" s="437"/>
      <c r="Z119" s="437"/>
      <c r="AA119" s="437"/>
      <c r="AB119" s="437"/>
      <c r="AC119" s="437"/>
      <c r="AD119" s="437"/>
      <c r="AE119" s="437"/>
      <c r="AF119" s="437"/>
      <c r="AG119" s="437"/>
    </row>
    <row r="120" spans="2:33" x14ac:dyDescent="0.3">
      <c r="B120" s="306"/>
      <c r="C120" s="307"/>
      <c r="G120" s="326"/>
      <c r="H120" s="326"/>
      <c r="I120" s="326"/>
      <c r="J120" s="326"/>
      <c r="K120" s="326"/>
      <c r="L120" s="326"/>
      <c r="M120" s="326"/>
      <c r="N120" s="326"/>
      <c r="O120" s="326"/>
      <c r="P120" s="326"/>
      <c r="Q120" s="335"/>
      <c r="S120" s="306"/>
      <c r="T120" s="307"/>
      <c r="X120" s="326"/>
      <c r="Y120" s="326"/>
      <c r="Z120" s="326"/>
      <c r="AA120" s="326"/>
      <c r="AB120" s="326"/>
      <c r="AC120" s="326"/>
      <c r="AD120" s="326"/>
      <c r="AE120" s="326"/>
      <c r="AF120" s="326"/>
      <c r="AG120" s="326"/>
    </row>
    <row r="121" spans="2:33" ht="15" customHeight="1" x14ac:dyDescent="0.3">
      <c r="B121" s="306"/>
      <c r="C121" s="307">
        <f>IF(OR(F121="X",F121="N/A"),1,0)</f>
        <v>0</v>
      </c>
      <c r="F121" s="303"/>
      <c r="G121" s="437" t="s">
        <v>676</v>
      </c>
      <c r="H121" s="437"/>
      <c r="I121" s="437"/>
      <c r="J121" s="437"/>
      <c r="K121" s="437"/>
      <c r="L121" s="437"/>
      <c r="M121" s="437"/>
      <c r="N121" s="437"/>
      <c r="O121" s="437"/>
      <c r="P121" s="437"/>
      <c r="Q121" s="335"/>
      <c r="S121" s="306"/>
      <c r="T121" s="307">
        <f>IF(OR(W121="X",W121="N/A"),1,0)</f>
        <v>0</v>
      </c>
      <c r="W121" s="366"/>
      <c r="X121" s="437" t="s">
        <v>676</v>
      </c>
      <c r="Y121" s="437"/>
      <c r="Z121" s="437"/>
      <c r="AA121" s="437"/>
      <c r="AB121" s="437"/>
      <c r="AC121" s="437"/>
      <c r="AD121" s="437"/>
      <c r="AE121" s="437"/>
      <c r="AF121" s="437"/>
      <c r="AG121" s="437"/>
    </row>
    <row r="122" spans="2:33" ht="63.75" customHeight="1" x14ac:dyDescent="0.3">
      <c r="B122" s="306"/>
      <c r="C122" s="307"/>
      <c r="F122" s="295"/>
      <c r="G122" s="437"/>
      <c r="H122" s="437"/>
      <c r="I122" s="437"/>
      <c r="J122" s="437"/>
      <c r="K122" s="437"/>
      <c r="L122" s="437"/>
      <c r="M122" s="437"/>
      <c r="N122" s="437"/>
      <c r="O122" s="437"/>
      <c r="P122" s="437"/>
      <c r="Q122" s="335"/>
      <c r="S122" s="306"/>
      <c r="T122" s="307"/>
      <c r="W122" s="295"/>
      <c r="X122" s="437"/>
      <c r="Y122" s="437"/>
      <c r="Z122" s="437"/>
      <c r="AA122" s="437"/>
      <c r="AB122" s="437"/>
      <c r="AC122" s="437"/>
      <c r="AD122" s="437"/>
      <c r="AE122" s="437"/>
      <c r="AF122" s="437"/>
      <c r="AG122" s="437"/>
    </row>
    <row r="123" spans="2:33" x14ac:dyDescent="0.3">
      <c r="B123" s="306"/>
      <c r="C123" s="307"/>
      <c r="F123" s="295"/>
      <c r="G123" s="326"/>
      <c r="H123" s="326"/>
      <c r="I123" s="326"/>
      <c r="J123" s="326"/>
      <c r="K123" s="326"/>
      <c r="L123" s="326"/>
      <c r="M123" s="326"/>
      <c r="N123" s="326"/>
      <c r="O123" s="326"/>
      <c r="P123" s="326"/>
      <c r="Q123" s="335"/>
      <c r="S123" s="306"/>
      <c r="T123" s="307"/>
      <c r="W123" s="295"/>
      <c r="X123" s="326"/>
      <c r="Y123" s="326"/>
      <c r="Z123" s="326"/>
      <c r="AA123" s="326"/>
      <c r="AB123" s="326"/>
      <c r="AC123" s="326"/>
      <c r="AD123" s="326"/>
      <c r="AE123" s="326"/>
      <c r="AF123" s="326"/>
      <c r="AG123" s="326"/>
    </row>
    <row r="124" spans="2:33" ht="15.75" customHeight="1" x14ac:dyDescent="0.3">
      <c r="B124" s="306"/>
      <c r="C124" s="307">
        <f>IF(OR(F124="X",F124="N/A"),1,0)</f>
        <v>0</v>
      </c>
      <c r="F124" s="303"/>
      <c r="G124" s="434" t="s">
        <v>679</v>
      </c>
      <c r="H124" s="434"/>
      <c r="I124" s="434"/>
      <c r="J124" s="434"/>
      <c r="K124" s="434"/>
      <c r="L124" s="434"/>
      <c r="M124" s="434"/>
      <c r="N124" s="434"/>
      <c r="O124" s="434"/>
      <c r="P124" s="434"/>
      <c r="Q124" s="335"/>
      <c r="S124" s="306"/>
      <c r="T124" s="307">
        <f>IF(OR(W124="X",W124="N/A"),1,0)</f>
        <v>0</v>
      </c>
      <c r="W124" s="366"/>
      <c r="X124" s="434" t="s">
        <v>679</v>
      </c>
      <c r="Y124" s="434"/>
      <c r="Z124" s="434"/>
      <c r="AA124" s="434"/>
      <c r="AB124" s="434"/>
      <c r="AC124" s="434"/>
      <c r="AD124" s="434"/>
      <c r="AE124" s="434"/>
      <c r="AF124" s="434"/>
      <c r="AG124" s="434"/>
    </row>
    <row r="125" spans="2:33" ht="267.75" customHeight="1" x14ac:dyDescent="0.3">
      <c r="B125" s="306"/>
      <c r="C125" s="307"/>
      <c r="F125" s="335"/>
      <c r="G125" s="434"/>
      <c r="H125" s="434"/>
      <c r="I125" s="434"/>
      <c r="J125" s="434"/>
      <c r="K125" s="434"/>
      <c r="L125" s="434"/>
      <c r="M125" s="434"/>
      <c r="N125" s="434"/>
      <c r="O125" s="434"/>
      <c r="P125" s="434"/>
      <c r="Q125" s="335"/>
      <c r="S125" s="306"/>
      <c r="T125" s="307"/>
      <c r="W125" s="295"/>
      <c r="X125" s="434"/>
      <c r="Y125" s="434"/>
      <c r="Z125" s="434"/>
      <c r="AA125" s="434"/>
      <c r="AB125" s="434"/>
      <c r="AC125" s="434"/>
      <c r="AD125" s="434"/>
      <c r="AE125" s="434"/>
      <c r="AF125" s="434"/>
      <c r="AG125" s="434"/>
    </row>
    <row r="126" spans="2:33" x14ac:dyDescent="0.3">
      <c r="B126" s="306"/>
      <c r="C126" s="307"/>
      <c r="F126" s="295"/>
      <c r="G126" s="326"/>
      <c r="H126" s="335"/>
      <c r="I126" s="335"/>
      <c r="J126" s="335"/>
      <c r="K126" s="335"/>
      <c r="L126" s="335"/>
      <c r="M126" s="335"/>
      <c r="N126" s="335"/>
      <c r="O126" s="335"/>
      <c r="P126" s="335"/>
      <c r="Q126" s="335"/>
      <c r="S126" s="306"/>
      <c r="T126" s="307"/>
      <c r="W126" s="295"/>
      <c r="X126" s="326"/>
      <c r="Y126" s="335"/>
      <c r="Z126" s="335"/>
      <c r="AA126" s="335"/>
      <c r="AB126" s="335"/>
      <c r="AC126" s="335"/>
      <c r="AD126" s="335"/>
      <c r="AE126" s="335"/>
      <c r="AF126" s="335"/>
      <c r="AG126" s="335"/>
    </row>
    <row r="127" spans="2:33" ht="15" customHeight="1" x14ac:dyDescent="0.3">
      <c r="B127" s="308">
        <v>3</v>
      </c>
      <c r="C127" s="309">
        <f>SUM(C128:C132)</f>
        <v>0</v>
      </c>
      <c r="D127" s="351"/>
      <c r="E127" s="127" t="s">
        <v>668</v>
      </c>
      <c r="S127" s="308">
        <v>3</v>
      </c>
      <c r="T127" s="309">
        <f>SUM(T128:T132)</f>
        <v>0</v>
      </c>
      <c r="U127" s="351"/>
      <c r="V127" s="127" t="s">
        <v>668</v>
      </c>
    </row>
    <row r="128" spans="2:33" ht="15" customHeight="1" x14ac:dyDescent="0.3">
      <c r="B128" s="306"/>
      <c r="C128" s="307">
        <f>IF(F128="X",1,0)</f>
        <v>0</v>
      </c>
      <c r="F128" s="303"/>
      <c r="G128" s="434" t="s">
        <v>669</v>
      </c>
      <c r="H128" s="434"/>
      <c r="I128" s="434"/>
      <c r="J128" s="434"/>
      <c r="K128" s="434"/>
      <c r="L128" s="434"/>
      <c r="M128" s="434"/>
      <c r="N128" s="434"/>
      <c r="O128" s="434"/>
      <c r="P128" s="434"/>
      <c r="Q128" s="335"/>
      <c r="S128" s="306"/>
      <c r="T128" s="307">
        <f>IF(W128="X",1,0)</f>
        <v>0</v>
      </c>
      <c r="W128" s="366"/>
      <c r="X128" s="434" t="s">
        <v>669</v>
      </c>
      <c r="Y128" s="434"/>
      <c r="Z128" s="434"/>
      <c r="AA128" s="434"/>
      <c r="AB128" s="434"/>
      <c r="AC128" s="434"/>
      <c r="AD128" s="434"/>
      <c r="AE128" s="434"/>
      <c r="AF128" s="434"/>
      <c r="AG128" s="434"/>
    </row>
    <row r="129" spans="2:33" ht="15" customHeight="1" x14ac:dyDescent="0.3">
      <c r="B129" s="306"/>
      <c r="C129" s="307"/>
      <c r="G129" s="434"/>
      <c r="H129" s="434"/>
      <c r="I129" s="434"/>
      <c r="J129" s="434"/>
      <c r="K129" s="434"/>
      <c r="L129" s="434"/>
      <c r="M129" s="434"/>
      <c r="N129" s="434"/>
      <c r="O129" s="434"/>
      <c r="P129" s="434"/>
      <c r="Q129" s="335"/>
      <c r="S129" s="306"/>
      <c r="T129" s="307"/>
      <c r="X129" s="434"/>
      <c r="Y129" s="434"/>
      <c r="Z129" s="434"/>
      <c r="AA129" s="434"/>
      <c r="AB129" s="434"/>
      <c r="AC129" s="434"/>
      <c r="AD129" s="434"/>
      <c r="AE129" s="434"/>
      <c r="AF129" s="434"/>
      <c r="AG129" s="434"/>
    </row>
    <row r="130" spans="2:33" ht="15" customHeight="1" x14ac:dyDescent="0.3">
      <c r="B130" s="306"/>
      <c r="C130" s="307">
        <f>IF(F130="X",1,0)</f>
        <v>0</v>
      </c>
      <c r="F130" s="303"/>
      <c r="G130" s="434" t="s">
        <v>405</v>
      </c>
      <c r="H130" s="434"/>
      <c r="I130" s="434"/>
      <c r="J130" s="434"/>
      <c r="K130" s="434"/>
      <c r="L130" s="434"/>
      <c r="M130" s="434"/>
      <c r="N130" s="434"/>
      <c r="O130" s="434"/>
      <c r="P130" s="434"/>
      <c r="Q130" s="335"/>
      <c r="S130" s="306"/>
      <c r="T130" s="307">
        <f>IF(W130="X",1,0)</f>
        <v>0</v>
      </c>
      <c r="W130" s="366"/>
      <c r="X130" s="434" t="s">
        <v>405</v>
      </c>
      <c r="Y130" s="434"/>
      <c r="Z130" s="434"/>
      <c r="AA130" s="434"/>
      <c r="AB130" s="434"/>
      <c r="AC130" s="434"/>
      <c r="AD130" s="434"/>
      <c r="AE130" s="434"/>
      <c r="AF130" s="434"/>
      <c r="AG130" s="434"/>
    </row>
    <row r="131" spans="2:33" ht="20.25" customHeight="1" x14ac:dyDescent="0.3">
      <c r="B131" s="306"/>
      <c r="C131" s="307"/>
      <c r="G131" s="434"/>
      <c r="H131" s="434"/>
      <c r="I131" s="434"/>
      <c r="J131" s="434"/>
      <c r="K131" s="434"/>
      <c r="L131" s="434"/>
      <c r="M131" s="434"/>
      <c r="N131" s="434"/>
      <c r="O131" s="434"/>
      <c r="P131" s="434"/>
      <c r="Q131" s="335"/>
      <c r="S131" s="306"/>
      <c r="T131" s="307"/>
      <c r="X131" s="434"/>
      <c r="Y131" s="434"/>
      <c r="Z131" s="434"/>
      <c r="AA131" s="434"/>
      <c r="AB131" s="434"/>
      <c r="AC131" s="434"/>
      <c r="AD131" s="434"/>
      <c r="AE131" s="434"/>
      <c r="AF131" s="434"/>
      <c r="AG131" s="434"/>
    </row>
    <row r="132" spans="2:33" ht="14.4" customHeight="1" x14ac:dyDescent="0.3">
      <c r="B132" s="306"/>
      <c r="C132" s="307">
        <f>IF(F132="X",1,0)</f>
        <v>0</v>
      </c>
      <c r="F132" s="303"/>
      <c r="G132" s="434" t="s">
        <v>672</v>
      </c>
      <c r="H132" s="434"/>
      <c r="I132" s="434"/>
      <c r="J132" s="434"/>
      <c r="K132" s="434"/>
      <c r="L132" s="434"/>
      <c r="M132" s="434"/>
      <c r="N132" s="434"/>
      <c r="O132" s="434"/>
      <c r="P132" s="434"/>
      <c r="Q132" s="335"/>
      <c r="S132" s="306"/>
      <c r="T132" s="307">
        <f>IF(W132="X",1,0)</f>
        <v>0</v>
      </c>
      <c r="W132" s="366"/>
      <c r="X132" s="434" t="s">
        <v>672</v>
      </c>
      <c r="Y132" s="434"/>
      <c r="Z132" s="434"/>
      <c r="AA132" s="434"/>
      <c r="AB132" s="434"/>
      <c r="AC132" s="434"/>
      <c r="AD132" s="434"/>
      <c r="AE132" s="434"/>
      <c r="AF132" s="434"/>
      <c r="AG132" s="434"/>
    </row>
    <row r="133" spans="2:33" ht="33" customHeight="1" x14ac:dyDescent="0.3">
      <c r="B133" s="306"/>
      <c r="C133" s="307"/>
      <c r="F133" s="214"/>
      <c r="G133" s="434"/>
      <c r="H133" s="434"/>
      <c r="I133" s="434"/>
      <c r="J133" s="434"/>
      <c r="K133" s="434"/>
      <c r="L133" s="434"/>
      <c r="M133" s="434"/>
      <c r="N133" s="434"/>
      <c r="O133" s="434"/>
      <c r="P133" s="434"/>
      <c r="Q133" s="335"/>
      <c r="S133" s="306"/>
      <c r="T133" s="307"/>
      <c r="W133" s="214"/>
      <c r="X133" s="434"/>
      <c r="Y133" s="434"/>
      <c r="Z133" s="434"/>
      <c r="AA133" s="434"/>
      <c r="AB133" s="434"/>
      <c r="AC133" s="434"/>
      <c r="AD133" s="434"/>
      <c r="AE133" s="434"/>
      <c r="AF133" s="434"/>
      <c r="AG133" s="434"/>
    </row>
    <row r="134" spans="2:33" x14ac:dyDescent="0.3">
      <c r="B134" s="306"/>
      <c r="C134" s="307"/>
      <c r="F134" s="214"/>
      <c r="G134" s="335"/>
      <c r="H134" s="335"/>
      <c r="I134" s="335"/>
      <c r="J134" s="335"/>
      <c r="K134" s="335"/>
      <c r="L134" s="335"/>
      <c r="M134" s="335"/>
      <c r="N134" s="335"/>
      <c r="O134" s="335"/>
      <c r="P134" s="335"/>
      <c r="Q134" s="335"/>
      <c r="S134" s="306"/>
      <c r="T134" s="307"/>
      <c r="W134" s="214"/>
      <c r="X134" s="335"/>
      <c r="Y134" s="335"/>
      <c r="Z134" s="335"/>
      <c r="AA134" s="335"/>
      <c r="AB134" s="335"/>
      <c r="AC134" s="335"/>
      <c r="AD134" s="335"/>
      <c r="AE134" s="335"/>
      <c r="AF134" s="335"/>
      <c r="AG134" s="335"/>
    </row>
    <row r="135" spans="2:33" s="8" customFormat="1" ht="28.5" customHeight="1" thickBot="1" x14ac:dyDescent="0.35">
      <c r="B135" s="310"/>
      <c r="C135" s="347"/>
      <c r="D135" s="28"/>
      <c r="E135" s="121" t="s">
        <v>92</v>
      </c>
      <c r="F135" s="130"/>
      <c r="G135" s="130"/>
      <c r="H135" s="130"/>
      <c r="I135" s="130"/>
      <c r="J135" s="130"/>
      <c r="K135" s="130"/>
      <c r="L135" s="130"/>
      <c r="M135" s="130"/>
      <c r="N135" s="130"/>
      <c r="O135" s="130"/>
      <c r="P135" s="130"/>
      <c r="S135" s="310"/>
      <c r="T135" s="347"/>
      <c r="U135" s="28"/>
      <c r="V135" s="121" t="s">
        <v>92</v>
      </c>
      <c r="W135" s="130"/>
      <c r="X135" s="130"/>
      <c r="Y135" s="130"/>
      <c r="Z135" s="130"/>
      <c r="AA135" s="130"/>
      <c r="AB135" s="130"/>
      <c r="AC135" s="130"/>
      <c r="AD135" s="130"/>
      <c r="AE135" s="130"/>
      <c r="AF135" s="130"/>
      <c r="AG135" s="130"/>
    </row>
    <row r="136" spans="2:33" ht="15" customHeight="1" x14ac:dyDescent="0.3">
      <c r="B136" s="306"/>
      <c r="C136" s="307"/>
      <c r="E136" s="127"/>
      <c r="S136" s="306"/>
      <c r="T136" s="307"/>
      <c r="V136" s="127"/>
    </row>
    <row r="137" spans="2:33" x14ac:dyDescent="0.3">
      <c r="B137" s="308">
        <v>2</v>
      </c>
      <c r="C137" s="309">
        <f>SUM(C138:C140)</f>
        <v>0</v>
      </c>
      <c r="D137" s="351"/>
      <c r="E137" s="127" t="s">
        <v>168</v>
      </c>
      <c r="S137" s="308">
        <v>2</v>
      </c>
      <c r="T137" s="309">
        <f>SUM(T138:T140)</f>
        <v>0</v>
      </c>
      <c r="U137" s="351"/>
      <c r="V137" s="127" t="s">
        <v>168</v>
      </c>
    </row>
    <row r="138" spans="2:33" ht="15" customHeight="1" x14ac:dyDescent="0.3">
      <c r="B138" s="306"/>
      <c r="C138" s="307">
        <f>IF(F138="X",1,0)</f>
        <v>0</v>
      </c>
      <c r="F138" s="303"/>
      <c r="G138" s="435" t="s">
        <v>406</v>
      </c>
      <c r="H138" s="434"/>
      <c r="I138" s="434"/>
      <c r="J138" s="434"/>
      <c r="K138" s="434"/>
      <c r="L138" s="434"/>
      <c r="M138" s="434"/>
      <c r="N138" s="434"/>
      <c r="O138" s="434"/>
      <c r="P138" s="434"/>
      <c r="Q138" s="335"/>
      <c r="S138" s="306"/>
      <c r="T138" s="307">
        <f>IF(W138="X",1,0)</f>
        <v>0</v>
      </c>
      <c r="W138" s="366"/>
      <c r="X138" s="435" t="s">
        <v>406</v>
      </c>
      <c r="Y138" s="434"/>
      <c r="Z138" s="434"/>
      <c r="AA138" s="434"/>
      <c r="AB138" s="434"/>
      <c r="AC138" s="434"/>
      <c r="AD138" s="434"/>
      <c r="AE138" s="434"/>
      <c r="AF138" s="434"/>
      <c r="AG138" s="434"/>
    </row>
    <row r="139" spans="2:33" x14ac:dyDescent="0.3">
      <c r="B139" s="306"/>
      <c r="C139" s="307"/>
      <c r="G139" s="155"/>
      <c r="H139" s="155"/>
      <c r="I139" s="155"/>
      <c r="J139" s="155"/>
      <c r="K139" s="155"/>
      <c r="L139" s="155"/>
      <c r="M139" s="155"/>
      <c r="N139" s="155"/>
      <c r="O139" s="155"/>
      <c r="P139" s="155"/>
      <c r="Q139" s="335"/>
      <c r="S139" s="306"/>
      <c r="T139" s="307"/>
      <c r="X139" s="155"/>
      <c r="Y139" s="155"/>
      <c r="Z139" s="155"/>
      <c r="AA139" s="155"/>
      <c r="AB139" s="155"/>
      <c r="AC139" s="155"/>
      <c r="AD139" s="155"/>
      <c r="AE139" s="155"/>
      <c r="AF139" s="155"/>
      <c r="AG139" s="155"/>
    </row>
    <row r="140" spans="2:33" ht="15" customHeight="1" x14ac:dyDescent="0.3">
      <c r="B140" s="306"/>
      <c r="C140" s="307">
        <f>IF(F140&lt;&gt;"",1,0)</f>
        <v>0</v>
      </c>
      <c r="F140" s="303"/>
      <c r="G140" s="434" t="s">
        <v>589</v>
      </c>
      <c r="H140" s="434"/>
      <c r="I140" s="434"/>
      <c r="J140" s="434"/>
      <c r="K140" s="434"/>
      <c r="L140" s="434"/>
      <c r="M140" s="434"/>
      <c r="N140" s="434"/>
      <c r="O140" s="434"/>
      <c r="P140" s="434"/>
      <c r="Q140" s="335"/>
      <c r="S140" s="306"/>
      <c r="T140" s="307">
        <f>IF(W140&lt;&gt;"",1,0)</f>
        <v>0</v>
      </c>
      <c r="W140" s="366"/>
      <c r="X140" s="434" t="s">
        <v>589</v>
      </c>
      <c r="Y140" s="434"/>
      <c r="Z140" s="434"/>
      <c r="AA140" s="434"/>
      <c r="AB140" s="434"/>
      <c r="AC140" s="434"/>
      <c r="AD140" s="434"/>
      <c r="AE140" s="434"/>
      <c r="AF140" s="434"/>
      <c r="AG140" s="434"/>
    </row>
    <row r="141" spans="2:33" ht="299.25" customHeight="1" x14ac:dyDescent="0.3">
      <c r="B141" s="306"/>
      <c r="C141" s="307"/>
      <c r="G141" s="434"/>
      <c r="H141" s="434"/>
      <c r="I141" s="434"/>
      <c r="J141" s="434"/>
      <c r="K141" s="434"/>
      <c r="L141" s="434"/>
      <c r="M141" s="434"/>
      <c r="N141" s="434"/>
      <c r="O141" s="434"/>
      <c r="P141" s="434"/>
      <c r="Q141" s="335"/>
      <c r="S141" s="306"/>
      <c r="T141" s="307"/>
      <c r="X141" s="434"/>
      <c r="Y141" s="434"/>
      <c r="Z141" s="434"/>
      <c r="AA141" s="434"/>
      <c r="AB141" s="434"/>
      <c r="AC141" s="434"/>
      <c r="AD141" s="434"/>
      <c r="AE141" s="434"/>
      <c r="AF141" s="434"/>
      <c r="AG141" s="434"/>
    </row>
    <row r="142" spans="2:33" x14ac:dyDescent="0.3">
      <c r="B142" s="306"/>
      <c r="C142" s="307"/>
      <c r="F142" s="214"/>
      <c r="S142" s="306"/>
      <c r="T142" s="307"/>
      <c r="W142" s="214"/>
    </row>
    <row r="143" spans="2:33" x14ac:dyDescent="0.3">
      <c r="B143" s="308">
        <v>1</v>
      </c>
      <c r="C143" s="309">
        <f>SUM(C144)</f>
        <v>0</v>
      </c>
      <c r="D143" s="351"/>
      <c r="E143" s="127" t="s">
        <v>409</v>
      </c>
      <c r="S143" s="308">
        <v>1</v>
      </c>
      <c r="T143" s="309">
        <f>SUM(T144)</f>
        <v>0</v>
      </c>
      <c r="U143" s="351"/>
      <c r="V143" s="127" t="s">
        <v>409</v>
      </c>
    </row>
    <row r="144" spans="2:33" ht="15" customHeight="1" x14ac:dyDescent="0.3">
      <c r="B144" s="306"/>
      <c r="C144" s="307">
        <f>IF(F144="X",1,0)</f>
        <v>0</v>
      </c>
      <c r="F144" s="303"/>
      <c r="G144" s="435" t="s">
        <v>410</v>
      </c>
      <c r="H144" s="434"/>
      <c r="I144" s="434"/>
      <c r="J144" s="434"/>
      <c r="K144" s="434"/>
      <c r="L144" s="434"/>
      <c r="M144" s="434"/>
      <c r="N144" s="434"/>
      <c r="O144" s="434"/>
      <c r="P144" s="434"/>
      <c r="S144" s="306"/>
      <c r="T144" s="307">
        <f>IF(W144="X",1,0)</f>
        <v>0</v>
      </c>
      <c r="W144" s="366"/>
      <c r="X144" s="435" t="s">
        <v>410</v>
      </c>
      <c r="Y144" s="434"/>
      <c r="Z144" s="434"/>
      <c r="AA144" s="434"/>
      <c r="AB144" s="434"/>
      <c r="AC144" s="434"/>
      <c r="AD144" s="434"/>
      <c r="AE144" s="434"/>
      <c r="AF144" s="434"/>
      <c r="AG144" s="434"/>
    </row>
    <row r="145" spans="2:33" ht="15" customHeight="1" x14ac:dyDescent="0.3">
      <c r="B145" s="306"/>
      <c r="C145" s="307"/>
      <c r="F145" s="335"/>
      <c r="G145" s="335"/>
      <c r="H145" s="335"/>
      <c r="I145" s="335"/>
      <c r="J145" s="335"/>
      <c r="K145" s="335"/>
      <c r="L145" s="335"/>
      <c r="M145" s="335"/>
      <c r="N145" s="335"/>
      <c r="O145" s="335"/>
      <c r="P145" s="335"/>
      <c r="S145" s="306"/>
      <c r="T145" s="307"/>
      <c r="W145" s="335"/>
      <c r="X145" s="335"/>
      <c r="Y145" s="335"/>
      <c r="Z145" s="335"/>
      <c r="AA145" s="335"/>
      <c r="AB145" s="335"/>
      <c r="AC145" s="335"/>
      <c r="AD145" s="335"/>
      <c r="AE145" s="335"/>
      <c r="AF145" s="335"/>
      <c r="AG145" s="335"/>
    </row>
    <row r="146" spans="2:33" ht="15.9" customHeight="1" x14ac:dyDescent="0.3">
      <c r="B146" s="308">
        <v>2</v>
      </c>
      <c r="C146" s="309">
        <f>SUM(C147:C149)</f>
        <v>0</v>
      </c>
      <c r="D146" s="351"/>
      <c r="E146" s="127" t="s">
        <v>333</v>
      </c>
      <c r="S146" s="308">
        <v>2</v>
      </c>
      <c r="T146" s="309">
        <f>SUM(T147:T149)</f>
        <v>0</v>
      </c>
      <c r="U146" s="351"/>
      <c r="V146" s="127" t="s">
        <v>333</v>
      </c>
    </row>
    <row r="147" spans="2:33" x14ac:dyDescent="0.3">
      <c r="B147" s="327"/>
      <c r="C147" s="307">
        <f>IF(F147="X",1,0)</f>
        <v>0</v>
      </c>
      <c r="F147" s="303"/>
      <c r="G147" s="127" t="s">
        <v>411</v>
      </c>
      <c r="H147" s="155"/>
      <c r="I147" s="155"/>
      <c r="J147" s="155"/>
      <c r="K147" s="155"/>
      <c r="L147" s="155"/>
      <c r="M147" s="155"/>
      <c r="N147" s="155"/>
      <c r="O147" s="155"/>
      <c r="P147" s="155"/>
      <c r="Q147" s="335"/>
      <c r="S147" s="327"/>
      <c r="T147" s="307">
        <f>IF(W147="X",1,0)</f>
        <v>0</v>
      </c>
      <c r="W147" s="366"/>
      <c r="X147" s="127" t="s">
        <v>411</v>
      </c>
      <c r="Y147" s="155"/>
      <c r="Z147" s="155"/>
      <c r="AA147" s="155"/>
      <c r="AB147" s="155"/>
      <c r="AC147" s="155"/>
      <c r="AD147" s="155"/>
      <c r="AE147" s="155"/>
      <c r="AF147" s="155"/>
      <c r="AG147" s="155"/>
    </row>
    <row r="148" spans="2:33" ht="13.5" customHeight="1" x14ac:dyDescent="0.3">
      <c r="B148" s="306"/>
      <c r="C148" s="307"/>
      <c r="G148" s="155"/>
      <c r="H148" s="155"/>
      <c r="I148" s="155"/>
      <c r="J148" s="155"/>
      <c r="K148" s="155"/>
      <c r="L148" s="155"/>
      <c r="M148" s="155"/>
      <c r="N148" s="155"/>
      <c r="O148" s="155"/>
      <c r="P148" s="155"/>
      <c r="Q148" s="335"/>
      <c r="S148" s="306"/>
      <c r="T148" s="307"/>
      <c r="X148" s="155"/>
      <c r="Y148" s="155"/>
      <c r="Z148" s="155"/>
      <c r="AA148" s="155"/>
      <c r="AB148" s="155"/>
      <c r="AC148" s="155"/>
      <c r="AD148" s="155"/>
      <c r="AE148" s="155"/>
      <c r="AF148" s="155"/>
      <c r="AG148" s="155"/>
    </row>
    <row r="149" spans="2:33" ht="14.25" customHeight="1" x14ac:dyDescent="0.3">
      <c r="B149" s="306"/>
      <c r="C149" s="307">
        <f>IF(F149="X",1,0)</f>
        <v>0</v>
      </c>
      <c r="F149" s="303"/>
      <c r="G149" s="434" t="s">
        <v>414</v>
      </c>
      <c r="H149" s="434"/>
      <c r="I149" s="434"/>
      <c r="J149" s="434"/>
      <c r="K149" s="434"/>
      <c r="L149" s="434"/>
      <c r="M149" s="434"/>
      <c r="N149" s="434"/>
      <c r="O149" s="434"/>
      <c r="P149" s="434"/>
      <c r="Q149" s="335"/>
      <c r="S149" s="306"/>
      <c r="T149" s="307">
        <f>IF(W149="X",1,0)</f>
        <v>0</v>
      </c>
      <c r="W149" s="366"/>
      <c r="X149" s="434" t="s">
        <v>414</v>
      </c>
      <c r="Y149" s="434"/>
      <c r="Z149" s="434"/>
      <c r="AA149" s="434"/>
      <c r="AB149" s="434"/>
      <c r="AC149" s="434"/>
      <c r="AD149" s="434"/>
      <c r="AE149" s="434"/>
      <c r="AF149" s="434"/>
      <c r="AG149" s="434"/>
    </row>
    <row r="150" spans="2:33" ht="30.75" customHeight="1" x14ac:dyDescent="0.3">
      <c r="B150" s="306"/>
      <c r="C150" s="307"/>
      <c r="G150" s="434"/>
      <c r="H150" s="434"/>
      <c r="I150" s="434"/>
      <c r="J150" s="434"/>
      <c r="K150" s="434"/>
      <c r="L150" s="434"/>
      <c r="M150" s="434"/>
      <c r="N150" s="434"/>
      <c r="O150" s="434"/>
      <c r="P150" s="434"/>
      <c r="Q150" s="335"/>
      <c r="S150" s="306"/>
      <c r="T150" s="307"/>
      <c r="X150" s="434"/>
      <c r="Y150" s="434"/>
      <c r="Z150" s="434"/>
      <c r="AA150" s="434"/>
      <c r="AB150" s="434"/>
      <c r="AC150" s="434"/>
      <c r="AD150" s="434"/>
      <c r="AE150" s="434"/>
      <c r="AF150" s="434"/>
      <c r="AG150" s="434"/>
    </row>
    <row r="151" spans="2:33" ht="15" customHeight="1" x14ac:dyDescent="0.3">
      <c r="B151" s="306"/>
      <c r="C151" s="307"/>
      <c r="G151" s="335"/>
      <c r="H151" s="335"/>
      <c r="I151" s="335"/>
      <c r="J151" s="335"/>
      <c r="K151" s="335"/>
      <c r="L151" s="335"/>
      <c r="M151" s="335"/>
      <c r="N151" s="335"/>
      <c r="O151" s="335"/>
      <c r="P151" s="335"/>
      <c r="Q151" s="335"/>
      <c r="S151" s="306"/>
      <c r="T151" s="307"/>
      <c r="X151" s="335"/>
      <c r="Y151" s="335"/>
      <c r="Z151" s="335"/>
      <c r="AA151" s="335"/>
      <c r="AB151" s="335"/>
      <c r="AC151" s="335"/>
      <c r="AD151" s="335"/>
      <c r="AE151" s="335"/>
      <c r="AF151" s="335"/>
      <c r="AG151" s="335"/>
    </row>
    <row r="152" spans="2:33" s="8" customFormat="1" ht="27.6" customHeight="1" thickBot="1" x14ac:dyDescent="0.35">
      <c r="B152" s="328"/>
      <c r="C152" s="329"/>
      <c r="D152" s="28"/>
      <c r="E152" s="121" t="s">
        <v>587</v>
      </c>
      <c r="F152" s="130"/>
      <c r="G152" s="130"/>
      <c r="H152" s="130"/>
      <c r="I152" s="130"/>
      <c r="J152" s="130"/>
      <c r="K152" s="130"/>
      <c r="L152" s="130"/>
      <c r="M152" s="130"/>
      <c r="N152" s="130"/>
      <c r="O152" s="130"/>
      <c r="P152" s="130"/>
      <c r="S152" s="328"/>
      <c r="T152" s="329"/>
      <c r="U152" s="28"/>
      <c r="V152" s="121" t="s">
        <v>587</v>
      </c>
      <c r="W152" s="130"/>
      <c r="X152" s="130"/>
      <c r="Y152" s="130"/>
      <c r="Z152" s="130"/>
      <c r="AA152" s="130"/>
      <c r="AB152" s="130"/>
      <c r="AC152" s="130"/>
      <c r="AD152" s="130"/>
      <c r="AE152" s="130"/>
      <c r="AF152" s="130"/>
      <c r="AG152" s="130"/>
    </row>
    <row r="153" spans="2:33" ht="15" customHeight="1" x14ac:dyDescent="0.3">
      <c r="B153" s="306"/>
      <c r="C153" s="307"/>
      <c r="S153" s="306"/>
      <c r="T153" s="307"/>
    </row>
    <row r="154" spans="2:33" x14ac:dyDescent="0.3">
      <c r="B154" s="300">
        <v>3</v>
      </c>
      <c r="C154" s="301">
        <f>SUM(C155:C159)</f>
        <v>0</v>
      </c>
      <c r="D154" s="351"/>
      <c r="E154" s="127" t="s">
        <v>170</v>
      </c>
      <c r="S154" s="300">
        <v>3</v>
      </c>
      <c r="T154" s="301">
        <f>SUM(T155:T157)</f>
        <v>0</v>
      </c>
      <c r="U154" s="351"/>
      <c r="V154" s="127" t="s">
        <v>170</v>
      </c>
    </row>
    <row r="155" spans="2:33" ht="15" customHeight="1" x14ac:dyDescent="0.3">
      <c r="B155" s="330"/>
      <c r="C155" s="302">
        <f>IF(F155="X",1,0)</f>
        <v>0</v>
      </c>
      <c r="F155" s="303"/>
      <c r="G155" s="435" t="s">
        <v>415</v>
      </c>
      <c r="H155" s="434"/>
      <c r="I155" s="434"/>
      <c r="J155" s="434"/>
      <c r="K155" s="434"/>
      <c r="L155" s="434"/>
      <c r="M155" s="434"/>
      <c r="N155" s="434"/>
      <c r="O155" s="434"/>
      <c r="P155" s="434"/>
      <c r="Q155" s="335"/>
      <c r="S155" s="330"/>
      <c r="T155" s="302">
        <f>IF(W155="X",1,0)</f>
        <v>0</v>
      </c>
      <c r="W155" s="366"/>
      <c r="X155" s="435" t="s">
        <v>415</v>
      </c>
      <c r="Y155" s="434"/>
      <c r="Z155" s="434"/>
      <c r="AA155" s="434"/>
      <c r="AB155" s="434"/>
      <c r="AC155" s="434"/>
      <c r="AD155" s="434"/>
      <c r="AE155" s="434"/>
      <c r="AF155" s="434"/>
      <c r="AG155" s="434"/>
    </row>
    <row r="156" spans="2:33" ht="15" customHeight="1" x14ac:dyDescent="0.3">
      <c r="B156" s="306"/>
      <c r="C156" s="307"/>
      <c r="F156" s="155"/>
      <c r="G156" s="155"/>
      <c r="H156" s="155"/>
      <c r="I156" s="155"/>
      <c r="J156" s="155"/>
      <c r="K156" s="155"/>
      <c r="L156" s="155"/>
      <c r="M156" s="155"/>
      <c r="N156" s="155"/>
      <c r="O156" s="155"/>
      <c r="P156" s="155"/>
      <c r="Q156" s="335"/>
      <c r="S156" s="306"/>
      <c r="T156" s="307"/>
      <c r="W156" s="155"/>
      <c r="X156" s="155"/>
      <c r="Y156" s="155"/>
      <c r="Z156" s="155"/>
      <c r="AA156" s="155"/>
      <c r="AB156" s="155"/>
      <c r="AC156" s="155"/>
      <c r="AD156" s="155"/>
      <c r="AE156" s="155"/>
      <c r="AF156" s="155"/>
      <c r="AG156" s="155"/>
    </row>
    <row r="157" spans="2:33" ht="15" customHeight="1" x14ac:dyDescent="0.3">
      <c r="B157" s="306"/>
      <c r="C157" s="307">
        <f>IF(F157="X",1,0)</f>
        <v>0</v>
      </c>
      <c r="F157" s="303"/>
      <c r="G157" s="434" t="s">
        <v>421</v>
      </c>
      <c r="H157" s="434"/>
      <c r="I157" s="434"/>
      <c r="J157" s="434"/>
      <c r="K157" s="434"/>
      <c r="L157" s="434"/>
      <c r="M157" s="434"/>
      <c r="N157" s="434"/>
      <c r="O157" s="434"/>
      <c r="P157" s="434"/>
      <c r="Q157" s="335"/>
      <c r="S157" s="306"/>
      <c r="T157" s="307">
        <f t="shared" ref="T157" si="0">IF(W157="X",1,0)</f>
        <v>0</v>
      </c>
      <c r="W157" s="366"/>
      <c r="X157" s="434" t="s">
        <v>421</v>
      </c>
      <c r="Y157" s="434"/>
      <c r="Z157" s="434"/>
      <c r="AA157" s="434"/>
      <c r="AB157" s="434"/>
      <c r="AC157" s="434"/>
      <c r="AD157" s="434"/>
      <c r="AE157" s="434"/>
      <c r="AF157" s="434"/>
      <c r="AG157" s="434"/>
    </row>
    <row r="158" spans="2:33" ht="15" customHeight="1" x14ac:dyDescent="0.3">
      <c r="B158" s="306"/>
      <c r="C158" s="307"/>
      <c r="F158" s="335"/>
      <c r="G158" s="335"/>
      <c r="H158" s="335"/>
      <c r="I158" s="335"/>
      <c r="J158" s="335"/>
      <c r="K158" s="335"/>
      <c r="L158" s="335"/>
      <c r="M158" s="335"/>
      <c r="N158" s="335"/>
      <c r="O158" s="335"/>
      <c r="P158" s="335"/>
      <c r="Q158" s="335"/>
      <c r="S158" s="306"/>
      <c r="T158" s="307"/>
      <c r="W158" s="335"/>
      <c r="X158" s="335"/>
      <c r="Y158" s="335"/>
      <c r="Z158" s="335"/>
      <c r="AA158" s="335"/>
      <c r="AB158" s="335"/>
      <c r="AC158" s="335"/>
      <c r="AD158" s="335"/>
      <c r="AE158" s="335"/>
      <c r="AF158" s="335"/>
      <c r="AG158" s="335"/>
    </row>
    <row r="159" spans="2:33" ht="15" customHeight="1" x14ac:dyDescent="0.3">
      <c r="B159" s="306"/>
      <c r="C159" s="307">
        <f>IF(F159&lt;&gt;"",1,0)</f>
        <v>0</v>
      </c>
      <c r="F159" s="303"/>
      <c r="G159" s="434" t="s">
        <v>673</v>
      </c>
      <c r="H159" s="434"/>
      <c r="I159" s="434"/>
      <c r="J159" s="434"/>
      <c r="K159" s="434"/>
      <c r="L159" s="434"/>
      <c r="M159" s="434"/>
      <c r="N159" s="434"/>
      <c r="O159" s="434"/>
      <c r="P159" s="434"/>
      <c r="Q159" s="155"/>
      <c r="S159" s="306"/>
      <c r="T159" s="307">
        <f>IF(W159&lt;&gt;"",1,0)</f>
        <v>0</v>
      </c>
      <c r="W159" s="366"/>
      <c r="X159" s="434" t="s">
        <v>673</v>
      </c>
      <c r="Y159" s="434"/>
      <c r="Z159" s="434"/>
      <c r="AA159" s="434"/>
      <c r="AB159" s="434"/>
      <c r="AC159" s="434"/>
      <c r="AD159" s="434"/>
      <c r="AE159" s="434"/>
      <c r="AF159" s="434"/>
      <c r="AG159" s="434"/>
    </row>
    <row r="160" spans="2:33" ht="348.75" customHeight="1" x14ac:dyDescent="0.3">
      <c r="B160" s="306"/>
      <c r="C160" s="307"/>
      <c r="G160" s="434"/>
      <c r="H160" s="434"/>
      <c r="I160" s="434"/>
      <c r="J160" s="434"/>
      <c r="K160" s="434"/>
      <c r="L160" s="434"/>
      <c r="M160" s="434"/>
      <c r="N160" s="434"/>
      <c r="O160" s="434"/>
      <c r="P160" s="434"/>
      <c r="Q160" s="155"/>
      <c r="S160" s="306"/>
      <c r="T160" s="307"/>
      <c r="W160" s="295"/>
      <c r="X160" s="434"/>
      <c r="Y160" s="434"/>
      <c r="Z160" s="434"/>
      <c r="AA160" s="434"/>
      <c r="AB160" s="434"/>
      <c r="AC160" s="434"/>
      <c r="AD160" s="434"/>
      <c r="AE160" s="434"/>
      <c r="AF160" s="434"/>
      <c r="AG160" s="434"/>
    </row>
    <row r="161" spans="2:33" x14ac:dyDescent="0.3">
      <c r="B161" s="306"/>
      <c r="C161" s="307"/>
      <c r="G161" s="155"/>
      <c r="H161" s="155"/>
      <c r="I161" s="155"/>
      <c r="J161" s="155"/>
      <c r="K161" s="155"/>
      <c r="L161" s="155"/>
      <c r="M161" s="155"/>
      <c r="N161" s="155"/>
      <c r="O161" s="155"/>
      <c r="P161" s="155"/>
      <c r="Q161" s="335"/>
      <c r="S161" s="306"/>
      <c r="T161" s="307"/>
      <c r="X161" s="155"/>
      <c r="Y161" s="155"/>
      <c r="Z161" s="155"/>
      <c r="AA161" s="155"/>
      <c r="AB161" s="155"/>
      <c r="AC161" s="155"/>
      <c r="AD161" s="155"/>
      <c r="AE161" s="155"/>
      <c r="AF161" s="155"/>
      <c r="AG161" s="155"/>
    </row>
    <row r="162" spans="2:33" ht="18" customHeight="1" x14ac:dyDescent="0.3">
      <c r="B162" s="308">
        <v>2</v>
      </c>
      <c r="C162" s="309">
        <f>SUM(C163:C165)</f>
        <v>0</v>
      </c>
      <c r="D162" s="351"/>
      <c r="E162" s="127" t="s">
        <v>296</v>
      </c>
      <c r="S162" s="308">
        <v>2</v>
      </c>
      <c r="T162" s="309">
        <f>SUM(T163:T165)</f>
        <v>0</v>
      </c>
      <c r="U162" s="351"/>
      <c r="V162" s="127" t="s">
        <v>296</v>
      </c>
    </row>
    <row r="163" spans="2:33" ht="15" customHeight="1" x14ac:dyDescent="0.3">
      <c r="B163" s="306"/>
      <c r="C163" s="302">
        <f>IF(F163="X",1,0)</f>
        <v>0</v>
      </c>
      <c r="F163" s="303"/>
      <c r="G163" s="435" t="s">
        <v>417</v>
      </c>
      <c r="H163" s="434"/>
      <c r="I163" s="434"/>
      <c r="J163" s="434"/>
      <c r="K163" s="434"/>
      <c r="L163" s="434"/>
      <c r="M163" s="434"/>
      <c r="N163" s="434"/>
      <c r="O163" s="434"/>
      <c r="P163" s="434"/>
      <c r="Q163" s="335"/>
      <c r="S163" s="306"/>
      <c r="T163" s="302">
        <f>IF(W163="X",1,0)</f>
        <v>0</v>
      </c>
      <c r="W163" s="366"/>
      <c r="X163" s="435" t="s">
        <v>417</v>
      </c>
      <c r="Y163" s="434"/>
      <c r="Z163" s="434"/>
      <c r="AA163" s="434"/>
      <c r="AB163" s="434"/>
      <c r="AC163" s="434"/>
      <c r="AD163" s="434"/>
      <c r="AE163" s="434"/>
      <c r="AF163" s="434"/>
      <c r="AG163" s="434"/>
    </row>
    <row r="164" spans="2:33" ht="15" customHeight="1" x14ac:dyDescent="0.3">
      <c r="B164" s="306"/>
      <c r="C164" s="307"/>
      <c r="G164" s="155"/>
      <c r="H164" s="155"/>
      <c r="I164" s="155"/>
      <c r="J164" s="155"/>
      <c r="K164" s="155"/>
      <c r="L164" s="155"/>
      <c r="M164" s="155"/>
      <c r="N164" s="155"/>
      <c r="O164" s="155"/>
      <c r="P164" s="155"/>
      <c r="Q164" s="335"/>
      <c r="S164" s="306"/>
      <c r="T164" s="307"/>
      <c r="X164" s="155"/>
      <c r="Y164" s="155"/>
      <c r="Z164" s="155"/>
      <c r="AA164" s="155"/>
      <c r="AB164" s="155"/>
      <c r="AC164" s="155"/>
      <c r="AD164" s="155"/>
      <c r="AE164" s="155"/>
      <c r="AF164" s="155"/>
      <c r="AG164" s="155"/>
    </row>
    <row r="165" spans="2:33" ht="15" customHeight="1" x14ac:dyDescent="0.3">
      <c r="B165" s="306"/>
      <c r="C165" s="307">
        <f>IF(F165="X",1,0)</f>
        <v>0</v>
      </c>
      <c r="F165" s="303"/>
      <c r="G165" s="435" t="s">
        <v>664</v>
      </c>
      <c r="H165" s="434"/>
      <c r="I165" s="434"/>
      <c r="J165" s="434"/>
      <c r="K165" s="434"/>
      <c r="L165" s="434"/>
      <c r="M165" s="434"/>
      <c r="N165" s="434"/>
      <c r="O165" s="434"/>
      <c r="P165" s="434"/>
      <c r="Q165" s="335"/>
      <c r="S165" s="306"/>
      <c r="T165" s="307">
        <f>IF(W165="X",1,0)</f>
        <v>0</v>
      </c>
      <c r="W165" s="366"/>
      <c r="X165" s="435" t="s">
        <v>664</v>
      </c>
      <c r="Y165" s="434"/>
      <c r="Z165" s="434"/>
      <c r="AA165" s="434"/>
      <c r="AB165" s="434"/>
      <c r="AC165" s="434"/>
      <c r="AD165" s="434"/>
      <c r="AE165" s="434"/>
      <c r="AF165" s="434"/>
      <c r="AG165" s="434"/>
    </row>
    <row r="166" spans="2:33" x14ac:dyDescent="0.3">
      <c r="B166" s="306"/>
      <c r="C166" s="307"/>
      <c r="G166" s="155"/>
      <c r="H166" s="155"/>
      <c r="I166" s="155"/>
      <c r="J166" s="155"/>
      <c r="K166" s="155"/>
      <c r="L166" s="155"/>
      <c r="M166" s="155"/>
      <c r="N166" s="155"/>
      <c r="O166" s="155"/>
      <c r="P166" s="155"/>
      <c r="Q166" s="335"/>
      <c r="S166" s="306"/>
      <c r="T166" s="307"/>
      <c r="X166" s="155"/>
      <c r="Y166" s="155"/>
      <c r="Z166" s="155"/>
      <c r="AA166" s="155"/>
      <c r="AB166" s="155"/>
      <c r="AC166" s="155"/>
      <c r="AD166" s="155"/>
      <c r="AE166" s="155"/>
      <c r="AF166" s="155"/>
      <c r="AG166" s="155"/>
    </row>
    <row r="167" spans="2:33" ht="15.9" customHeight="1" x14ac:dyDescent="0.3">
      <c r="B167" s="300">
        <v>1</v>
      </c>
      <c r="C167" s="301">
        <f>SUM(C168)</f>
        <v>0</v>
      </c>
      <c r="D167" s="351"/>
      <c r="E167" s="127" t="s">
        <v>339</v>
      </c>
      <c r="S167" s="300">
        <v>1</v>
      </c>
      <c r="T167" s="301">
        <f>SUM(T168)</f>
        <v>0</v>
      </c>
      <c r="U167" s="351"/>
      <c r="V167" s="127" t="s">
        <v>339</v>
      </c>
    </row>
    <row r="168" spans="2:33" ht="15" customHeight="1" x14ac:dyDescent="0.3">
      <c r="B168" s="330"/>
      <c r="C168" s="302">
        <f>IF(F168="X",1,0)</f>
        <v>0</v>
      </c>
      <c r="F168" s="303"/>
      <c r="G168" s="434" t="s">
        <v>420</v>
      </c>
      <c r="H168" s="434"/>
      <c r="I168" s="434"/>
      <c r="J168" s="434"/>
      <c r="K168" s="434"/>
      <c r="L168" s="434"/>
      <c r="M168" s="434"/>
      <c r="N168" s="434"/>
      <c r="O168" s="434"/>
      <c r="P168" s="434"/>
      <c r="Q168" s="335"/>
      <c r="S168" s="330"/>
      <c r="T168" s="302">
        <f>IF(W168="X",1,0)</f>
        <v>0</v>
      </c>
      <c r="W168" s="366"/>
      <c r="X168" s="434" t="s">
        <v>420</v>
      </c>
      <c r="Y168" s="434"/>
      <c r="Z168" s="434"/>
      <c r="AA168" s="434"/>
      <c r="AB168" s="434"/>
      <c r="AC168" s="434"/>
      <c r="AD168" s="434"/>
      <c r="AE168" s="434"/>
      <c r="AF168" s="434"/>
      <c r="AG168" s="434"/>
    </row>
    <row r="169" spans="2:33" x14ac:dyDescent="0.3">
      <c r="B169" s="306"/>
      <c r="C169" s="307"/>
      <c r="G169" s="434"/>
      <c r="H169" s="434"/>
      <c r="I169" s="434"/>
      <c r="J169" s="434"/>
      <c r="K169" s="434"/>
      <c r="L169" s="434"/>
      <c r="M169" s="434"/>
      <c r="N169" s="434"/>
      <c r="O169" s="434"/>
      <c r="P169" s="434"/>
      <c r="Q169" s="335"/>
      <c r="S169" s="306"/>
      <c r="T169" s="307"/>
      <c r="X169" s="434"/>
      <c r="Y169" s="434"/>
      <c r="Z169" s="434"/>
      <c r="AA169" s="434"/>
      <c r="AB169" s="434"/>
      <c r="AC169" s="434"/>
      <c r="AD169" s="434"/>
      <c r="AE169" s="434"/>
      <c r="AF169" s="434"/>
      <c r="AG169" s="434"/>
    </row>
    <row r="170" spans="2:33" x14ac:dyDescent="0.3">
      <c r="B170" s="316"/>
      <c r="C170" s="317"/>
      <c r="G170" s="155"/>
      <c r="H170" s="155"/>
      <c r="I170" s="155"/>
      <c r="J170" s="155"/>
      <c r="K170" s="155"/>
      <c r="L170" s="155"/>
      <c r="M170" s="155"/>
      <c r="N170" s="155"/>
      <c r="O170" s="155"/>
      <c r="P170" s="155"/>
      <c r="Q170" s="335"/>
      <c r="S170" s="316"/>
      <c r="T170" s="317"/>
      <c r="X170" s="155"/>
      <c r="Y170" s="155"/>
      <c r="Z170" s="155"/>
      <c r="AA170" s="155"/>
      <c r="AB170" s="155"/>
      <c r="AC170" s="155"/>
      <c r="AD170" s="155"/>
      <c r="AE170" s="155"/>
      <c r="AF170" s="155"/>
      <c r="AG170" s="155"/>
    </row>
    <row r="173" spans="2:33" ht="15" customHeight="1" x14ac:dyDescent="0.3">
      <c r="B173" s="127"/>
      <c r="S173" s="127"/>
    </row>
    <row r="174" spans="2:33" x14ac:dyDescent="0.3">
      <c r="B174" s="127"/>
      <c r="C174" s="294" t="s">
        <v>3</v>
      </c>
      <c r="S174" s="127"/>
      <c r="T174" s="294" t="s">
        <v>3</v>
      </c>
    </row>
    <row r="175" spans="2:33" x14ac:dyDescent="0.3">
      <c r="C175" s="294" t="s">
        <v>101</v>
      </c>
      <c r="T175" s="294" t="s">
        <v>101</v>
      </c>
    </row>
    <row r="178" spans="2:22" ht="15" customHeight="1" x14ac:dyDescent="0.3">
      <c r="B178" s="127"/>
      <c r="S178" s="127"/>
    </row>
    <row r="181" spans="2:22" ht="15" customHeight="1" x14ac:dyDescent="0.3">
      <c r="B181" s="127"/>
      <c r="S181" s="127"/>
    </row>
    <row r="183" spans="2:22" ht="15" customHeight="1" x14ac:dyDescent="0.3">
      <c r="B183" s="127"/>
      <c r="S183" s="127"/>
    </row>
    <row r="189" spans="2:22" ht="15" customHeight="1" x14ac:dyDescent="0.3">
      <c r="B189" s="127"/>
      <c r="C189" s="127"/>
      <c r="D189" s="127"/>
      <c r="E189" s="127"/>
      <c r="S189" s="127"/>
      <c r="T189" s="127"/>
      <c r="U189" s="127"/>
      <c r="V189" s="127"/>
    </row>
    <row r="192" spans="2:22" ht="15" customHeight="1" x14ac:dyDescent="0.3">
      <c r="B192" s="127"/>
      <c r="C192" s="127"/>
      <c r="D192" s="127"/>
      <c r="E192" s="127"/>
      <c r="S192" s="127"/>
      <c r="T192" s="127"/>
      <c r="U192" s="127"/>
      <c r="V192" s="127"/>
    </row>
    <row r="195" s="127" customFormat="1" ht="15" customHeight="1" x14ac:dyDescent="0.3"/>
    <row r="197" s="127" customFormat="1" ht="15" customHeight="1" x14ac:dyDescent="0.3"/>
    <row r="199" s="127" customFormat="1" ht="15" customHeight="1" x14ac:dyDescent="0.3"/>
  </sheetData>
  <sheetProtection algorithmName="SHA-512" hashValue="DN0w934Cof06kGv0TyJRT5IMBW38dKERculaOCl9CYGmYULAF4vx2ZC0HbgY8kTCQIq+6zAVOr7xAdYoP6PPvg==" saltValue="lIieb1NjJ95tctYv3JQQPA==" spinCount="100000" sheet="1" selectLockedCells="1"/>
  <mergeCells count="100">
    <mergeCell ref="G124:P125"/>
    <mergeCell ref="X124:AG125"/>
    <mergeCell ref="G149:P150"/>
    <mergeCell ref="G159:P160"/>
    <mergeCell ref="G168:P169"/>
    <mergeCell ref="G163:P163"/>
    <mergeCell ref="G165:P165"/>
    <mergeCell ref="G155:P155"/>
    <mergeCell ref="G157:P157"/>
    <mergeCell ref="X118:AG119"/>
    <mergeCell ref="X121:AG122"/>
    <mergeCell ref="X104:AG105"/>
    <mergeCell ref="X140:AG141"/>
    <mergeCell ref="X168:AG169"/>
    <mergeCell ref="X163:AG163"/>
    <mergeCell ref="X165:AG165"/>
    <mergeCell ref="X144:AG144"/>
    <mergeCell ref="X106:AG108"/>
    <mergeCell ref="X159:AG160"/>
    <mergeCell ref="X149:AG150"/>
    <mergeCell ref="X155:AG155"/>
    <mergeCell ref="X157:AG157"/>
    <mergeCell ref="G115:P116"/>
    <mergeCell ref="X81:AG82"/>
    <mergeCell ref="X60:AG60"/>
    <mergeCell ref="X86:AG87"/>
    <mergeCell ref="X92:AG92"/>
    <mergeCell ref="X95:AG95"/>
    <mergeCell ref="X115:AG116"/>
    <mergeCell ref="X48:AG49"/>
    <mergeCell ref="X50:AG50"/>
    <mergeCell ref="G48:P49"/>
    <mergeCell ref="G50:P50"/>
    <mergeCell ref="X138:AG138"/>
    <mergeCell ref="X78:AG79"/>
    <mergeCell ref="G78:P79"/>
    <mergeCell ref="G86:P87"/>
    <mergeCell ref="G81:P82"/>
    <mergeCell ref="G89:P90"/>
    <mergeCell ref="X89:AG90"/>
    <mergeCell ref="G92:P92"/>
    <mergeCell ref="G95:P95"/>
    <mergeCell ref="G138:P138"/>
    <mergeCell ref="G118:P119"/>
    <mergeCell ref="G128:P129"/>
    <mergeCell ref="E12:P12"/>
    <mergeCell ref="G25:P26"/>
    <mergeCell ref="G18:P18"/>
    <mergeCell ref="G39:P39"/>
    <mergeCell ref="G29:P29"/>
    <mergeCell ref="G16:P16"/>
    <mergeCell ref="X46:AG47"/>
    <mergeCell ref="V2:AG2"/>
    <mergeCell ref="V3:AG3"/>
    <mergeCell ref="V11:AG11"/>
    <mergeCell ref="V12:AG12"/>
    <mergeCell ref="Y6:AC6"/>
    <mergeCell ref="Y8:Z8"/>
    <mergeCell ref="X39:AG39"/>
    <mergeCell ref="X16:AG16"/>
    <mergeCell ref="X18:AG18"/>
    <mergeCell ref="X25:AG26"/>
    <mergeCell ref="X29:AG29"/>
    <mergeCell ref="E2:P2"/>
    <mergeCell ref="E3:P3"/>
    <mergeCell ref="H6:L6"/>
    <mergeCell ref="H8:I8"/>
    <mergeCell ref="E11:P11"/>
    <mergeCell ref="G46:P47"/>
    <mergeCell ref="G84:P85"/>
    <mergeCell ref="G71:P72"/>
    <mergeCell ref="G52:P53"/>
    <mergeCell ref="X76:AG77"/>
    <mergeCell ref="G60:P60"/>
    <mergeCell ref="G54:P55"/>
    <mergeCell ref="X54:AG55"/>
    <mergeCell ref="G73:P74"/>
    <mergeCell ref="G66:P67"/>
    <mergeCell ref="X66:AG67"/>
    <mergeCell ref="X68:AG69"/>
    <mergeCell ref="X71:AG72"/>
    <mergeCell ref="X73:AG74"/>
    <mergeCell ref="G68:P69"/>
    <mergeCell ref="G76:P77"/>
    <mergeCell ref="X52:AG53"/>
    <mergeCell ref="G144:P144"/>
    <mergeCell ref="X84:AG85"/>
    <mergeCell ref="X130:AG131"/>
    <mergeCell ref="X132:AG133"/>
    <mergeCell ref="G110:P110"/>
    <mergeCell ref="G112:P113"/>
    <mergeCell ref="X110:AG110"/>
    <mergeCell ref="X112:AG113"/>
    <mergeCell ref="X128:AG129"/>
    <mergeCell ref="G140:P141"/>
    <mergeCell ref="G130:P131"/>
    <mergeCell ref="G121:P122"/>
    <mergeCell ref="G132:P133"/>
    <mergeCell ref="G106:P108"/>
    <mergeCell ref="G104:P105"/>
  </mergeCells>
  <conditionalFormatting sqref="F92">
    <cfRule type="expression" dxfId="60" priority="27">
      <formula>$F$92="N/A"</formula>
    </cfRule>
  </conditionalFormatting>
  <conditionalFormatting sqref="F81">
    <cfRule type="expression" dxfId="59" priority="26">
      <formula>$F$81="N/A"</formula>
    </cfRule>
  </conditionalFormatting>
  <conditionalFormatting sqref="F89">
    <cfRule type="expression" dxfId="58" priority="25">
      <formula>$F$89="N/A"</formula>
    </cfRule>
  </conditionalFormatting>
  <conditionalFormatting sqref="W81">
    <cfRule type="expression" dxfId="57" priority="24">
      <formula>$W$81="N/A"</formula>
    </cfRule>
  </conditionalFormatting>
  <conditionalFormatting sqref="W89">
    <cfRule type="expression" dxfId="56" priority="23">
      <formula>$W$89="N/A"</formula>
    </cfRule>
  </conditionalFormatting>
  <conditionalFormatting sqref="W92">
    <cfRule type="expression" dxfId="55" priority="22">
      <formula>$W$92="N/A"</formula>
    </cfRule>
  </conditionalFormatting>
  <conditionalFormatting sqref="F159">
    <cfRule type="expression" dxfId="54" priority="21">
      <formula>$F$159="N/A"</formula>
    </cfRule>
  </conditionalFormatting>
  <conditionalFormatting sqref="W159">
    <cfRule type="expression" dxfId="53" priority="20">
      <formula>$W$159="N/A"</formula>
    </cfRule>
  </conditionalFormatting>
  <conditionalFormatting sqref="F140">
    <cfRule type="expression" dxfId="52" priority="19">
      <formula>$F$140="N/A"</formula>
    </cfRule>
  </conditionalFormatting>
  <conditionalFormatting sqref="W140">
    <cfRule type="expression" dxfId="51" priority="18">
      <formula>$W$140="N/A"</formula>
    </cfRule>
  </conditionalFormatting>
  <conditionalFormatting sqref="F112">
    <cfRule type="expression" dxfId="50" priority="17">
      <formula>$F$112="N/A"</formula>
    </cfRule>
  </conditionalFormatting>
  <conditionalFormatting sqref="F115">
    <cfRule type="expression" dxfId="49" priority="16">
      <formula>$F$115="N/A"</formula>
    </cfRule>
  </conditionalFormatting>
  <conditionalFormatting sqref="F118">
    <cfRule type="expression" dxfId="48" priority="15">
      <formula>$F$118="N/A"</formula>
    </cfRule>
  </conditionalFormatting>
  <conditionalFormatting sqref="F121">
    <cfRule type="expression" dxfId="47" priority="14">
      <formula>$F$121="N/A"</formula>
    </cfRule>
  </conditionalFormatting>
  <conditionalFormatting sqref="W112">
    <cfRule type="expression" dxfId="46" priority="9">
      <formula>$W$112="N/A"</formula>
    </cfRule>
  </conditionalFormatting>
  <conditionalFormatting sqref="W118">
    <cfRule type="expression" dxfId="45" priority="7">
      <formula>$W$118="N/A"</formula>
    </cfRule>
  </conditionalFormatting>
  <conditionalFormatting sqref="W115">
    <cfRule type="expression" dxfId="44" priority="6">
      <formula>$W$115="N/A"</formula>
    </cfRule>
  </conditionalFormatting>
  <conditionalFormatting sqref="W121">
    <cfRule type="expression" dxfId="43" priority="5">
      <formula>$W$121="N/A"</formula>
    </cfRule>
  </conditionalFormatting>
  <conditionalFormatting sqref="F124">
    <cfRule type="expression" dxfId="42" priority="4">
      <formula>$F$121="N/A"</formula>
    </cfRule>
    <cfRule type="expression" dxfId="41" priority="2">
      <formula>$F$124="N/A"</formula>
    </cfRule>
  </conditionalFormatting>
  <conditionalFormatting sqref="W124">
    <cfRule type="expression" dxfId="40" priority="3">
      <formula>$F$121="N/A"</formula>
    </cfRule>
    <cfRule type="expression" dxfId="39" priority="1">
      <formula>$W$124="N/A"</formula>
    </cfRule>
  </conditionalFormatting>
  <dataValidations count="9">
    <dataValidation showInputMessage="1" showErrorMessage="1" sqref="H8:I8 F37:F38 F55:F56 W51 F27 Y8:Z8 W37:W38 F64 W27 F51 W55:W56 F61:F62 W61:W62 W64" xr:uid="{4A73252C-43AF-46E0-9A48-1A2817F9BF53}"/>
    <dataValidation type="list" showInputMessage="1" showErrorMessage="1" sqref="F147 W157 F110 W58 W60 F52 W130 W128 W23 W29:W30 W144 W16 W155 W66 F104 F95 W165 W163 W106 W132 W34:W36 W68 W78 W76 F157 W73 W48 W21 W71 F97 W149 W84 W26 W18 W39:W41 W168 W104 W110 W97 W86 W95 W138 W147 W52 F46 F48 F50 F58 F60 F54 F130 F128 F23 F29:F30 F144 F16 F155 F66 F86 F138 F165 F163 F106 F132 F34:F36 F68 F78 F76 W54 F73 W46 F21 F71 W50 F149 F84 F26 F18 F39:F41 F168" xr:uid="{B21F3694-D625-49AC-ABFE-85F0EF67AC41}">
      <formula1>C$173:C$174</formula1>
    </dataValidation>
    <dataValidation type="list" showInputMessage="1" showErrorMessage="1" sqref="G98 X98" xr:uid="{CCEFD1E1-BA9D-40FE-86D2-42287863F2B3}">
      <formula1>C$173:C$174</formula1>
    </dataValidation>
    <dataValidation type="list" allowBlank="1" showInputMessage="1" showErrorMessage="1" sqref="F122:F123 F126 W122:W123 W125:W126" xr:uid="{CFEB6F9F-C6F5-406C-ADEE-E3EE90B46262}">
      <formula1>$C$174:$C$175</formula1>
    </dataValidation>
    <dataValidation type="list" showInputMessage="1" showErrorMessage="1" sqref="F63" xr:uid="{25E48084-7A8C-44A6-B5B9-0F5D70E185FD}">
      <formula1>$C$173:$C$174</formula1>
    </dataValidation>
    <dataValidation type="list" showInputMessage="1" showErrorMessage="1" sqref="W63" xr:uid="{B51ABE84-84B8-4853-AD4F-8DC1BD530436}">
      <formula1>$T$173:$T$174</formula1>
    </dataValidation>
    <dataValidation type="list" showInputMessage="1" showErrorMessage="1" sqref="F159 F121 F140 F112 F115 F118 F124 W124" xr:uid="{6A8F1547-4AA2-4B0D-9866-9278ADA87BA7}">
      <formula1>$C$173:$C$175</formula1>
    </dataValidation>
    <dataValidation type="list" allowBlank="1" showInputMessage="1" showErrorMessage="1" sqref="F92 F81 F89" xr:uid="{34D3319B-A673-437C-85CC-D28C3D28C9C8}">
      <formula1>$C$173:$C$175</formula1>
    </dataValidation>
    <dataValidation type="list" showInputMessage="1" showErrorMessage="1" sqref="W81 W140 W159 W92 W89 W112 W115 W118 W121" xr:uid="{8CC5E4C3-98C1-48E6-A281-DF5AE443E7AA}">
      <formula1>$T$173:$T$175</formula1>
    </dataValidation>
  </dataValidations>
  <pageMargins left="0.7" right="0.7" top="0.75" bottom="0.75" header="0.3" footer="0.3"/>
  <pageSetup scale="63" fitToWidth="2" fitToHeight="3" orientation="portrait" r:id="rId1"/>
  <headerFooter>
    <oddFooter>&amp;CTab: &amp;A&amp;RPrint Date: &amp;D</oddFooter>
  </headerFooter>
  <rowBreaks count="8" manualBreakCount="8">
    <brk id="42" max="16383" man="1"/>
    <brk id="99" min="21" max="32" man="1"/>
    <brk id="99" min="4" max="15" man="1"/>
    <brk id="134" min="4" max="15" man="1"/>
    <brk id="134" min="21" max="32" man="1"/>
    <brk id="151" min="21" max="32" man="1"/>
    <brk id="151" min="4" max="15" man="1"/>
    <brk id="171" max="29" man="1"/>
  </rowBreaks>
  <colBreaks count="2" manualBreakCount="2">
    <brk id="16" max="1048575" man="1"/>
    <brk id="17" max="1048575" man="1"/>
  </col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6"/>
  <dimension ref="B1:R245"/>
  <sheetViews>
    <sheetView showGridLines="0" showZeros="0" view="pageBreakPreview" zoomScaleNormal="100" zoomScaleSheetLayoutView="100" workbookViewId="0">
      <selection activeCell="B13" sqref="B13"/>
    </sheetView>
  </sheetViews>
  <sheetFormatPr defaultColWidth="9.109375" defaultRowHeight="15.6" x14ac:dyDescent="0.3"/>
  <cols>
    <col min="1" max="1" width="3.5546875" style="1" customWidth="1"/>
    <col min="2" max="2" width="14.44140625" style="175" customWidth="1"/>
    <col min="3" max="14" width="14.44140625" style="1" customWidth="1"/>
    <col min="15" max="15" width="9.109375" style="1"/>
    <col min="16" max="16" width="9.109375" style="1" customWidth="1"/>
    <col min="17" max="16384" width="9.109375" style="1"/>
  </cols>
  <sheetData>
    <row r="1" spans="2:16" ht="16.2" thickBot="1" x14ac:dyDescent="0.35">
      <c r="B1" s="407" t="s">
        <v>518</v>
      </c>
      <c r="C1" s="407"/>
      <c r="D1" s="407"/>
      <c r="E1" s="407"/>
      <c r="F1" s="407"/>
      <c r="G1" s="407"/>
      <c r="H1" s="407"/>
      <c r="I1" s="407"/>
      <c r="J1" s="407"/>
      <c r="K1" s="407"/>
      <c r="L1" s="407"/>
      <c r="M1" s="407"/>
      <c r="N1" s="407"/>
      <c r="O1" s="1" t="s">
        <v>153</v>
      </c>
      <c r="P1" s="178"/>
    </row>
    <row r="2" spans="2:16" x14ac:dyDescent="0.3">
      <c r="O2" s="1" t="s">
        <v>154</v>
      </c>
    </row>
    <row r="3" spans="2:16" x14ac:dyDescent="0.3">
      <c r="D3" s="56" t="s">
        <v>0</v>
      </c>
      <c r="E3" s="21" t="str">
        <f>IF(Summary!E5="","",Summary!E5)</f>
        <v/>
      </c>
      <c r="F3" s="86"/>
      <c r="G3" s="86"/>
      <c r="H3" s="86"/>
      <c r="I3" s="86"/>
    </row>
    <row r="4" spans="2:16" x14ac:dyDescent="0.3">
      <c r="D4" s="56" t="s">
        <v>1</v>
      </c>
      <c r="E4" s="515" t="str">
        <f>IF(Summary!E6="","",Summary!E6)</f>
        <v/>
      </c>
      <c r="F4" s="516"/>
      <c r="G4" s="516"/>
      <c r="H4" s="516"/>
      <c r="I4" s="517"/>
    </row>
    <row r="5" spans="2:16" x14ac:dyDescent="0.3">
      <c r="D5" s="56"/>
      <c r="E5" s="182"/>
      <c r="F5" s="26"/>
      <c r="G5" s="86"/>
      <c r="H5" s="86"/>
      <c r="I5" s="86"/>
    </row>
    <row r="6" spans="2:16" x14ac:dyDescent="0.3">
      <c r="D6" s="56" t="s">
        <v>48</v>
      </c>
      <c r="E6" s="518" t="str">
        <f>IF(Summary!E8="","",Summary!E8)</f>
        <v/>
      </c>
      <c r="F6" s="518"/>
      <c r="G6" s="86"/>
      <c r="H6" s="86" t="s">
        <v>43</v>
      </c>
      <c r="I6" s="86"/>
      <c r="K6" s="5" t="str">
        <f>IF(Summary!K8="","",Summary!K8)</f>
        <v/>
      </c>
    </row>
    <row r="8" spans="2:16" x14ac:dyDescent="0.3">
      <c r="B8" s="519"/>
      <c r="C8" s="519"/>
      <c r="D8" s="519"/>
      <c r="E8" s="519"/>
      <c r="F8" s="519"/>
      <c r="G8" s="519"/>
      <c r="H8" s="519"/>
      <c r="I8" s="519"/>
      <c r="J8" s="519"/>
      <c r="K8" s="519"/>
      <c r="L8" s="519"/>
      <c r="M8" s="519"/>
      <c r="N8" s="519"/>
    </row>
    <row r="9" spans="2:16" x14ac:dyDescent="0.3">
      <c r="B9" s="9"/>
      <c r="C9" s="9"/>
      <c r="D9" s="9"/>
      <c r="E9" s="9"/>
      <c r="F9" s="9"/>
      <c r="G9" s="9"/>
      <c r="H9" s="9"/>
      <c r="I9" s="9"/>
      <c r="J9" s="9"/>
      <c r="K9" s="9"/>
      <c r="L9" s="9"/>
      <c r="M9" s="9"/>
      <c r="N9" s="9"/>
    </row>
    <row r="10" spans="2:16" x14ac:dyDescent="0.3">
      <c r="B10" s="410"/>
      <c r="C10" s="410"/>
      <c r="D10" s="410"/>
      <c r="E10" s="410"/>
      <c r="F10" s="410"/>
      <c r="G10" s="410"/>
      <c r="H10" s="410"/>
      <c r="I10" s="410"/>
      <c r="J10" s="410"/>
      <c r="K10" s="410"/>
      <c r="L10" s="410"/>
      <c r="M10" s="410"/>
      <c r="N10" s="410"/>
    </row>
    <row r="11" spans="2:16" ht="16.2" thickBot="1" x14ac:dyDescent="0.35">
      <c r="B11" s="407" t="s">
        <v>519</v>
      </c>
      <c r="C11" s="407"/>
      <c r="D11" s="407"/>
      <c r="E11" s="407"/>
      <c r="F11" s="407"/>
      <c r="G11" s="407"/>
      <c r="H11" s="407"/>
      <c r="I11" s="407"/>
      <c r="J11" s="407"/>
      <c r="K11" s="407"/>
      <c r="L11" s="407"/>
      <c r="M11" s="407"/>
      <c r="N11" s="407"/>
    </row>
    <row r="12" spans="2:16" x14ac:dyDescent="0.3">
      <c r="B12" s="338"/>
      <c r="C12" s="338"/>
      <c r="D12" s="338"/>
      <c r="E12" s="338"/>
      <c r="F12" s="338"/>
      <c r="G12" s="338"/>
      <c r="H12" s="338"/>
      <c r="I12" s="338"/>
      <c r="J12" s="338"/>
      <c r="K12" s="338"/>
      <c r="L12" s="338"/>
      <c r="M12" s="8"/>
      <c r="N12" s="8"/>
    </row>
    <row r="13" spans="2:16" x14ac:dyDescent="0.3">
      <c r="B13" s="340" t="str">
        <f>'22A1'!O17</f>
        <v/>
      </c>
      <c r="C13" s="340">
        <f>'22A1'!P17</f>
        <v>0</v>
      </c>
      <c r="D13" s="520" t="s">
        <v>218</v>
      </c>
      <c r="E13" s="520"/>
      <c r="F13" s="520"/>
      <c r="G13" s="520"/>
      <c r="H13" s="520"/>
      <c r="I13" s="520"/>
      <c r="J13" s="520"/>
      <c r="K13" s="520"/>
      <c r="L13" s="520"/>
      <c r="M13" s="171"/>
      <c r="N13" s="171"/>
    </row>
    <row r="14" spans="2:16" x14ac:dyDescent="0.3">
      <c r="B14" s="338"/>
      <c r="E14" s="11"/>
      <c r="F14" s="170"/>
      <c r="G14" s="170"/>
      <c r="H14" s="170"/>
      <c r="I14" s="170"/>
      <c r="J14" s="170"/>
      <c r="M14" s="7"/>
      <c r="N14" s="7"/>
    </row>
    <row r="15" spans="2:16" ht="16.2" thickBot="1" x14ac:dyDescent="0.35">
      <c r="B15" s="407" t="s">
        <v>520</v>
      </c>
      <c r="C15" s="407"/>
      <c r="D15" s="407"/>
      <c r="E15" s="407"/>
      <c r="F15" s="407"/>
      <c r="G15" s="407"/>
      <c r="H15" s="407"/>
      <c r="I15" s="407"/>
      <c r="J15" s="407"/>
      <c r="K15" s="407"/>
      <c r="L15" s="407"/>
      <c r="M15" s="407"/>
      <c r="N15" s="407"/>
    </row>
    <row r="16" spans="2:16" x14ac:dyDescent="0.3">
      <c r="B16" s="338"/>
      <c r="C16" s="338"/>
      <c r="D16" s="338"/>
      <c r="E16" s="338"/>
      <c r="F16" s="338"/>
      <c r="G16" s="338"/>
      <c r="H16" s="338"/>
      <c r="I16" s="338"/>
      <c r="J16" s="338"/>
      <c r="K16" s="338"/>
      <c r="L16" s="338"/>
      <c r="M16" s="8"/>
      <c r="N16" s="8"/>
    </row>
    <row r="17" spans="2:14" x14ac:dyDescent="0.3">
      <c r="B17" s="340" t="str">
        <f>'22A2'!O17</f>
        <v/>
      </c>
      <c r="C17" s="340">
        <f>'22A2'!P17</f>
        <v>0</v>
      </c>
      <c r="D17" s="520" t="s">
        <v>521</v>
      </c>
      <c r="E17" s="520"/>
      <c r="F17" s="520"/>
      <c r="G17" s="520"/>
      <c r="H17" s="520"/>
      <c r="I17" s="520"/>
      <c r="J17" s="520"/>
      <c r="K17" s="520"/>
      <c r="L17" s="520"/>
      <c r="M17" s="171"/>
      <c r="N17" s="171"/>
    </row>
    <row r="18" spans="2:14" x14ac:dyDescent="0.3">
      <c r="B18" s="338"/>
      <c r="E18" s="11"/>
      <c r="F18" s="170"/>
      <c r="G18" s="170"/>
      <c r="H18" s="170"/>
      <c r="I18" s="170"/>
      <c r="J18" s="170"/>
      <c r="M18" s="7"/>
      <c r="N18" s="7"/>
    </row>
    <row r="19" spans="2:14" ht="16.2" thickBot="1" x14ac:dyDescent="0.35">
      <c r="B19" s="407" t="s">
        <v>522</v>
      </c>
      <c r="C19" s="407"/>
      <c r="D19" s="407"/>
      <c r="E19" s="407"/>
      <c r="F19" s="407"/>
      <c r="G19" s="407"/>
      <c r="H19" s="407"/>
      <c r="I19" s="407"/>
      <c r="J19" s="407"/>
      <c r="K19" s="407"/>
      <c r="L19" s="407"/>
      <c r="M19" s="407"/>
      <c r="N19" s="407"/>
    </row>
    <row r="20" spans="2:14" x14ac:dyDescent="0.3">
      <c r="B20" s="11"/>
      <c r="C20" s="11"/>
      <c r="D20" s="168"/>
      <c r="E20" s="168"/>
      <c r="F20" s="9"/>
      <c r="G20" s="35"/>
      <c r="H20" s="9"/>
      <c r="I20" s="35"/>
      <c r="J20" s="9"/>
      <c r="K20" s="35"/>
      <c r="L20" s="171"/>
      <c r="M20" s="171"/>
      <c r="N20" s="171"/>
    </row>
    <row r="21" spans="2:14" x14ac:dyDescent="0.3">
      <c r="B21" s="521" t="s">
        <v>14</v>
      </c>
      <c r="C21" s="521"/>
      <c r="D21" s="521"/>
      <c r="E21" s="521"/>
      <c r="F21" s="521"/>
      <c r="G21" s="521"/>
      <c r="H21" s="521"/>
      <c r="I21" s="521"/>
      <c r="J21" s="521"/>
      <c r="K21" s="521"/>
      <c r="L21" s="7"/>
      <c r="M21" s="7"/>
      <c r="N21" s="7"/>
    </row>
    <row r="22" spans="2:14" x14ac:dyDescent="0.3">
      <c r="B22" s="341" t="str">
        <f>'22A3'!Q29</f>
        <v/>
      </c>
      <c r="C22" s="341" t="str">
        <f>'22A3'!R29</f>
        <v/>
      </c>
      <c r="D22" s="46">
        <v>0.01</v>
      </c>
      <c r="E22" s="111">
        <v>9.9000000000000005E-2</v>
      </c>
      <c r="F22" s="172"/>
      <c r="G22" s="172"/>
      <c r="H22" s="172"/>
      <c r="I22" s="172"/>
      <c r="J22" s="172"/>
      <c r="K22" s="173"/>
      <c r="L22" s="184"/>
      <c r="M22" s="184"/>
      <c r="N22" s="184"/>
    </row>
    <row r="23" spans="2:14" x14ac:dyDescent="0.3">
      <c r="B23" s="341" t="str">
        <f>'22A3'!Q30</f>
        <v/>
      </c>
      <c r="C23" s="341" t="str">
        <f>'22A3'!R30</f>
        <v/>
      </c>
      <c r="D23" s="46">
        <v>0.1</v>
      </c>
      <c r="E23" s="42">
        <v>0.25</v>
      </c>
      <c r="F23" s="172"/>
      <c r="G23" s="172"/>
      <c r="H23" s="172"/>
      <c r="I23" s="172"/>
      <c r="J23" s="172"/>
      <c r="K23" s="173"/>
      <c r="L23" s="8"/>
      <c r="M23" s="8"/>
      <c r="N23" s="8"/>
    </row>
    <row r="24" spans="2:14" x14ac:dyDescent="0.3">
      <c r="B24" s="1"/>
      <c r="C24" s="230"/>
      <c r="D24" s="38"/>
      <c r="E24" s="38"/>
      <c r="L24" s="8"/>
      <c r="M24" s="8"/>
      <c r="N24" s="8"/>
    </row>
    <row r="25" spans="2:14" x14ac:dyDescent="0.3">
      <c r="B25" s="522" t="s">
        <v>15</v>
      </c>
      <c r="C25" s="522"/>
      <c r="D25" s="522"/>
      <c r="E25" s="522"/>
      <c r="F25" s="522"/>
      <c r="G25" s="522"/>
      <c r="H25" s="522"/>
      <c r="I25" s="522"/>
      <c r="J25" s="522"/>
      <c r="K25" s="522"/>
      <c r="L25" s="8"/>
      <c r="M25" s="8"/>
      <c r="N25" s="8"/>
    </row>
    <row r="26" spans="2:14" x14ac:dyDescent="0.3">
      <c r="B26" s="341" t="str">
        <f>'22A3'!Q33</f>
        <v/>
      </c>
      <c r="C26" s="341" t="str">
        <f>'22A3'!R33</f>
        <v/>
      </c>
      <c r="D26" s="46">
        <v>0.25</v>
      </c>
      <c r="E26" s="111">
        <v>0.499</v>
      </c>
      <c r="F26" s="172"/>
      <c r="G26" s="172"/>
      <c r="H26" s="172"/>
      <c r="I26" s="172"/>
      <c r="J26" s="172"/>
      <c r="K26" s="173"/>
      <c r="L26" s="184"/>
      <c r="M26" s="184"/>
      <c r="N26" s="184"/>
    </row>
    <row r="27" spans="2:14" x14ac:dyDescent="0.3">
      <c r="B27" s="341" t="str">
        <f>'22A3'!Q34</f>
        <v/>
      </c>
      <c r="C27" s="341" t="str">
        <f>'22A3'!R34</f>
        <v/>
      </c>
      <c r="D27" s="46">
        <v>0.5</v>
      </c>
      <c r="E27" s="111">
        <v>1</v>
      </c>
      <c r="F27" s="172"/>
      <c r="G27" s="45"/>
      <c r="H27" s="172"/>
      <c r="I27" s="172"/>
      <c r="J27" s="172"/>
      <c r="K27" s="173"/>
      <c r="L27" s="174"/>
      <c r="M27" s="174"/>
      <c r="N27" s="174"/>
    </row>
    <row r="28" spans="2:14" x14ac:dyDescent="0.3">
      <c r="B28" s="1"/>
      <c r="L28" s="184"/>
      <c r="M28" s="184"/>
      <c r="N28" s="184"/>
    </row>
    <row r="29" spans="2:14" ht="16.2" thickBot="1" x14ac:dyDescent="0.35">
      <c r="B29" s="407" t="s">
        <v>523</v>
      </c>
      <c r="C29" s="407"/>
      <c r="D29" s="407"/>
      <c r="E29" s="407"/>
      <c r="F29" s="407"/>
      <c r="G29" s="407"/>
      <c r="H29" s="407"/>
      <c r="I29" s="407"/>
      <c r="J29" s="407"/>
      <c r="K29" s="407"/>
      <c r="L29" s="407"/>
      <c r="M29" s="407"/>
      <c r="N29" s="407"/>
    </row>
    <row r="30" spans="2:14" x14ac:dyDescent="0.3">
      <c r="C30" s="8"/>
      <c r="D30" s="8"/>
      <c r="E30" s="8"/>
      <c r="F30" s="8"/>
      <c r="G30" s="8"/>
      <c r="H30" s="8"/>
      <c r="I30" s="8"/>
      <c r="J30" s="8"/>
      <c r="K30" s="184"/>
      <c r="L30" s="184"/>
      <c r="M30" s="184"/>
      <c r="N30" s="184"/>
    </row>
    <row r="31" spans="2:14" x14ac:dyDescent="0.3">
      <c r="B31" s="1"/>
      <c r="C31" s="7" t="s">
        <v>157</v>
      </c>
      <c r="D31" s="7"/>
      <c r="E31" s="7"/>
      <c r="F31" s="7"/>
      <c r="G31" s="7"/>
      <c r="K31" s="155"/>
      <c r="L31" s="155"/>
      <c r="M31" s="155"/>
      <c r="N31" s="155"/>
    </row>
    <row r="32" spans="2:14" x14ac:dyDescent="0.3">
      <c r="B32" s="167" t="str">
        <f>IF('22A4'!$R$35="New Construction and Adaptive Reuse",'22A4'!$S$10,"")</f>
        <v/>
      </c>
      <c r="C32" s="167" t="str">
        <f>IF(AND('22A4'!$R$35="New Construction and Adaptive Reuse",'22A4'!$S$10&gt;0),"X","")</f>
        <v/>
      </c>
      <c r="D32" s="512" t="s">
        <v>524</v>
      </c>
      <c r="E32" s="513"/>
      <c r="F32" s="513"/>
      <c r="G32" s="513"/>
      <c r="H32" s="513"/>
      <c r="I32" s="513"/>
      <c r="J32" s="513"/>
      <c r="K32" s="513"/>
      <c r="L32" s="514"/>
      <c r="M32" s="155"/>
      <c r="N32" s="155"/>
    </row>
    <row r="33" spans="2:18" x14ac:dyDescent="0.3">
      <c r="B33" s="1"/>
      <c r="C33" s="8"/>
      <c r="K33" s="176"/>
      <c r="L33" s="176"/>
      <c r="M33" s="176"/>
      <c r="N33" s="176"/>
    </row>
    <row r="34" spans="2:18" x14ac:dyDescent="0.3">
      <c r="B34" s="1"/>
      <c r="C34" s="176" t="s">
        <v>158</v>
      </c>
      <c r="D34" s="176"/>
      <c r="E34" s="176"/>
      <c r="F34" s="176"/>
      <c r="G34" s="176"/>
      <c r="K34" s="155"/>
      <c r="L34" s="155"/>
      <c r="M34" s="155"/>
      <c r="N34" s="155"/>
    </row>
    <row r="35" spans="2:18" x14ac:dyDescent="0.3">
      <c r="B35" s="167" t="str">
        <f>IF('22A4'!$R$35="Rehab or Rehab/New Construction",'22A4'!$S$10,"")</f>
        <v/>
      </c>
      <c r="C35" s="167" t="str">
        <f>IF(AND('22A4'!$R$35="Rehab or Rehab/New Construction",'22A4'!$S$10&gt;0),"X","")</f>
        <v/>
      </c>
      <c r="D35" s="512" t="s">
        <v>525</v>
      </c>
      <c r="E35" s="513"/>
      <c r="F35" s="513"/>
      <c r="G35" s="513"/>
      <c r="H35" s="513"/>
      <c r="I35" s="513"/>
      <c r="J35" s="513"/>
      <c r="K35" s="513"/>
      <c r="L35" s="514"/>
      <c r="M35" s="155"/>
      <c r="N35" s="155"/>
    </row>
    <row r="36" spans="2:18" x14ac:dyDescent="0.3">
      <c r="B36" s="1"/>
    </row>
    <row r="37" spans="2:18" ht="16.2" thickBot="1" x14ac:dyDescent="0.35">
      <c r="B37" s="407" t="s">
        <v>526</v>
      </c>
      <c r="C37" s="407"/>
      <c r="D37" s="407"/>
      <c r="E37" s="407"/>
      <c r="F37" s="407"/>
      <c r="G37" s="407"/>
      <c r="H37" s="407"/>
      <c r="I37" s="407"/>
      <c r="J37" s="407"/>
      <c r="K37" s="407"/>
      <c r="L37" s="407"/>
      <c r="M37" s="407"/>
      <c r="N37" s="407"/>
    </row>
    <row r="38" spans="2:18" x14ac:dyDescent="0.3">
      <c r="B38" s="1"/>
      <c r="D38" s="7"/>
      <c r="E38" s="7"/>
      <c r="F38" s="7"/>
      <c r="G38" s="7"/>
      <c r="H38" s="7"/>
      <c r="I38" s="7"/>
      <c r="J38" s="7"/>
      <c r="K38" s="7"/>
      <c r="L38" s="174"/>
      <c r="M38" s="174"/>
      <c r="N38" s="174"/>
    </row>
    <row r="39" spans="2:18" ht="15.75" customHeight="1" x14ac:dyDescent="0.3">
      <c r="B39" s="95" t="str">
        <f>'22B1'!S23</f>
        <v/>
      </c>
      <c r="C39" s="167">
        <f>'22B1'!T23</f>
        <v>0</v>
      </c>
      <c r="D39" s="512" t="s">
        <v>271</v>
      </c>
      <c r="E39" s="513"/>
      <c r="F39" s="513"/>
      <c r="G39" s="513"/>
      <c r="H39" s="513"/>
      <c r="I39" s="513"/>
      <c r="J39" s="513"/>
      <c r="K39" s="513"/>
      <c r="L39" s="174"/>
      <c r="M39" s="174"/>
      <c r="N39" s="174"/>
    </row>
    <row r="40" spans="2:18" ht="15.75" customHeight="1" x14ac:dyDescent="0.3">
      <c r="B40" s="95" t="str">
        <f>'22B1'!S24</f>
        <v/>
      </c>
      <c r="C40" s="167">
        <f>'22B1'!T24</f>
        <v>0</v>
      </c>
      <c r="D40" s="495" t="s">
        <v>389</v>
      </c>
      <c r="E40" s="496"/>
      <c r="F40" s="496"/>
      <c r="G40" s="496"/>
      <c r="H40" s="496"/>
      <c r="I40" s="496"/>
      <c r="J40" s="496"/>
      <c r="K40" s="497"/>
    </row>
    <row r="41" spans="2:18" ht="15.75" customHeight="1" x14ac:dyDescent="0.3">
      <c r="B41" s="95" t="str">
        <f>'22B1'!S25</f>
        <v/>
      </c>
      <c r="C41" s="167">
        <f>'22B1'!T25</f>
        <v>0</v>
      </c>
      <c r="D41" s="444" t="s">
        <v>512</v>
      </c>
      <c r="E41" s="444"/>
      <c r="F41" s="444"/>
      <c r="G41" s="444"/>
      <c r="H41" s="444"/>
      <c r="I41" s="444"/>
      <c r="J41" s="444"/>
      <c r="K41" s="444"/>
      <c r="L41" s="7"/>
      <c r="M41" s="7"/>
      <c r="N41" s="7"/>
      <c r="O41" s="9"/>
      <c r="P41" s="9"/>
      <c r="Q41" s="9"/>
      <c r="R41" s="9"/>
    </row>
    <row r="42" spans="2:18" ht="15.75" customHeight="1" x14ac:dyDescent="0.3">
      <c r="B42" s="95" t="str">
        <f>'22B1'!S26</f>
        <v/>
      </c>
      <c r="C42" s="167">
        <f>'22B1'!T26</f>
        <v>0</v>
      </c>
      <c r="D42" s="444" t="s">
        <v>513</v>
      </c>
      <c r="E42" s="444"/>
      <c r="F42" s="444"/>
      <c r="G42" s="444"/>
      <c r="H42" s="444"/>
      <c r="I42" s="444"/>
      <c r="J42" s="444"/>
      <c r="K42" s="444"/>
      <c r="L42" s="184"/>
      <c r="M42" s="184"/>
      <c r="N42" s="184"/>
      <c r="O42" s="9"/>
      <c r="P42" s="9"/>
      <c r="Q42" s="9"/>
      <c r="R42" s="9"/>
    </row>
    <row r="43" spans="2:18" x14ac:dyDescent="0.3">
      <c r="B43" s="95" t="str">
        <f>'22B1'!S27</f>
        <v/>
      </c>
      <c r="C43" s="167">
        <f>'22B1'!T27</f>
        <v>0</v>
      </c>
      <c r="D43" s="509" t="s">
        <v>272</v>
      </c>
      <c r="E43" s="510"/>
      <c r="F43" s="510"/>
      <c r="G43" s="510"/>
      <c r="H43" s="510"/>
      <c r="I43" s="510"/>
      <c r="J43" s="510"/>
      <c r="K43" s="511"/>
      <c r="L43" s="184"/>
      <c r="M43" s="184"/>
      <c r="N43" s="184"/>
      <c r="O43" s="9"/>
      <c r="P43" s="9"/>
      <c r="Q43" s="9"/>
      <c r="R43" s="9"/>
    </row>
    <row r="44" spans="2:18" ht="15.75" customHeight="1" x14ac:dyDescent="0.3">
      <c r="B44" s="95" t="str">
        <f>'22B1'!S28</f>
        <v/>
      </c>
      <c r="C44" s="167">
        <f>'22B1'!T28</f>
        <v>0</v>
      </c>
      <c r="D44" s="509" t="s">
        <v>509</v>
      </c>
      <c r="E44" s="510"/>
      <c r="F44" s="510"/>
      <c r="G44" s="510"/>
      <c r="H44" s="510"/>
      <c r="I44" s="510"/>
      <c r="J44" s="510"/>
      <c r="K44" s="511"/>
      <c r="L44" s="184"/>
      <c r="M44" s="184"/>
      <c r="N44" s="184"/>
      <c r="O44" s="9"/>
      <c r="P44" s="9"/>
      <c r="Q44" s="9"/>
      <c r="R44" s="9"/>
    </row>
    <row r="45" spans="2:18" x14ac:dyDescent="0.3">
      <c r="B45" s="95" t="str">
        <f>'22B1'!S29</f>
        <v/>
      </c>
      <c r="C45" s="167">
        <f>'22B1'!T29</f>
        <v>0</v>
      </c>
      <c r="D45" s="509" t="s">
        <v>510</v>
      </c>
      <c r="E45" s="510"/>
      <c r="F45" s="510"/>
      <c r="G45" s="510"/>
      <c r="H45" s="510"/>
      <c r="I45" s="510"/>
      <c r="J45" s="510"/>
      <c r="K45" s="511"/>
      <c r="L45" s="7"/>
      <c r="M45" s="7"/>
      <c r="N45" s="7"/>
      <c r="O45" s="9"/>
      <c r="P45" s="9"/>
      <c r="Q45" s="9"/>
      <c r="R45" s="9"/>
    </row>
    <row r="46" spans="2:18" x14ac:dyDescent="0.3">
      <c r="B46" s="95" t="str">
        <f>'22B1'!S30</f>
        <v/>
      </c>
      <c r="C46" s="167">
        <f>'22B1'!T30</f>
        <v>0</v>
      </c>
      <c r="D46" s="509" t="s">
        <v>511</v>
      </c>
      <c r="E46" s="510"/>
      <c r="F46" s="510"/>
      <c r="G46" s="510"/>
      <c r="H46" s="510"/>
      <c r="I46" s="510"/>
      <c r="J46" s="510"/>
      <c r="K46" s="511"/>
      <c r="L46" s="184"/>
      <c r="M46" s="184"/>
      <c r="N46" s="184"/>
      <c r="O46" s="9"/>
      <c r="P46" s="9"/>
      <c r="Q46" s="9"/>
      <c r="R46" s="9"/>
    </row>
    <row r="47" spans="2:18" x14ac:dyDescent="0.3">
      <c r="J47" s="8"/>
      <c r="K47" s="8"/>
      <c r="L47" s="8"/>
    </row>
    <row r="48" spans="2:18" ht="16.2" thickBot="1" x14ac:dyDescent="0.35">
      <c r="B48" s="407" t="s">
        <v>527</v>
      </c>
      <c r="C48" s="407"/>
      <c r="D48" s="407"/>
      <c r="E48" s="407"/>
      <c r="F48" s="407"/>
      <c r="G48" s="407"/>
      <c r="H48" s="407"/>
      <c r="I48" s="407"/>
      <c r="J48" s="407"/>
      <c r="K48" s="407"/>
      <c r="L48" s="407"/>
      <c r="M48" s="407"/>
      <c r="N48" s="407"/>
    </row>
    <row r="49" spans="2:18" x14ac:dyDescent="0.3">
      <c r="B49" s="499"/>
      <c r="C49" s="499"/>
      <c r="D49" s="499"/>
      <c r="E49" s="499"/>
      <c r="F49" s="499"/>
      <c r="G49" s="499"/>
      <c r="H49" s="499"/>
      <c r="I49" s="499"/>
      <c r="J49" s="499"/>
      <c r="K49" s="499"/>
      <c r="L49" s="499"/>
      <c r="M49" s="291"/>
      <c r="N49" s="291"/>
    </row>
    <row r="50" spans="2:18" x14ac:dyDescent="0.3">
      <c r="B50" s="95" t="str">
        <f>'22B2'!S22</f>
        <v/>
      </c>
      <c r="C50" s="95">
        <f>'22B2'!T22</f>
        <v>0</v>
      </c>
      <c r="D50" s="444" t="s">
        <v>276</v>
      </c>
      <c r="E50" s="444"/>
      <c r="F50" s="444"/>
      <c r="G50" s="444"/>
      <c r="H50" s="444"/>
      <c r="I50" s="444"/>
      <c r="J50" s="444"/>
      <c r="K50" s="444"/>
      <c r="L50" s="7"/>
      <c r="M50" s="291"/>
      <c r="N50" s="291"/>
    </row>
    <row r="51" spans="2:18" x14ac:dyDescent="0.3">
      <c r="B51" s="95" t="str">
        <f>'22B2'!S23</f>
        <v/>
      </c>
      <c r="C51" s="95">
        <f>'22B2'!T23</f>
        <v>0</v>
      </c>
      <c r="D51" s="509" t="s">
        <v>277</v>
      </c>
      <c r="E51" s="510"/>
      <c r="F51" s="510"/>
      <c r="G51" s="510"/>
      <c r="H51" s="510"/>
      <c r="I51" s="510"/>
      <c r="J51" s="510"/>
      <c r="K51" s="511"/>
      <c r="L51" s="293"/>
    </row>
    <row r="52" spans="2:18" x14ac:dyDescent="0.3">
      <c r="B52" s="95" t="str">
        <f>'22B2'!S24</f>
        <v/>
      </c>
      <c r="C52" s="95">
        <f>'22B2'!T24</f>
        <v>0</v>
      </c>
      <c r="D52" s="509" t="s">
        <v>506</v>
      </c>
      <c r="E52" s="510"/>
      <c r="F52" s="510"/>
      <c r="G52" s="510"/>
      <c r="H52" s="510"/>
      <c r="I52" s="510"/>
      <c r="J52" s="510"/>
      <c r="K52" s="511"/>
      <c r="L52" s="293"/>
      <c r="M52" s="7"/>
      <c r="N52" s="7"/>
      <c r="O52" s="9"/>
      <c r="P52" s="9"/>
      <c r="Q52" s="9"/>
      <c r="R52" s="9"/>
    </row>
    <row r="53" spans="2:18" x14ac:dyDescent="0.3">
      <c r="B53" s="95" t="str">
        <f>'22B2'!S25</f>
        <v/>
      </c>
      <c r="C53" s="95">
        <f>'22B2'!T25</f>
        <v>0</v>
      </c>
      <c r="D53" s="447" t="s">
        <v>507</v>
      </c>
      <c r="E53" s="448"/>
      <c r="F53" s="448"/>
      <c r="G53" s="448"/>
      <c r="H53" s="448"/>
      <c r="I53" s="448"/>
      <c r="J53" s="448"/>
      <c r="K53" s="449"/>
      <c r="L53" s="293"/>
    </row>
    <row r="54" spans="2:18" x14ac:dyDescent="0.3">
      <c r="B54" s="95" t="str">
        <f>'22B2'!S26</f>
        <v/>
      </c>
      <c r="C54" s="95">
        <f>'22B2'!T26</f>
        <v>0</v>
      </c>
      <c r="D54" s="509" t="s">
        <v>508</v>
      </c>
      <c r="E54" s="510"/>
      <c r="F54" s="510"/>
      <c r="G54" s="510"/>
      <c r="H54" s="510"/>
      <c r="I54" s="510"/>
      <c r="J54" s="510"/>
      <c r="K54" s="511"/>
      <c r="L54" s="291"/>
      <c r="M54" s="291"/>
      <c r="N54" s="291"/>
    </row>
    <row r="55" spans="2:18" x14ac:dyDescent="0.3">
      <c r="B55" s="349"/>
      <c r="C55" s="292" t="str">
        <f>IF(D55="X",3,"")</f>
        <v/>
      </c>
      <c r="D55" s="80"/>
      <c r="E55" s="80"/>
      <c r="F55" s="80"/>
      <c r="G55" s="80"/>
      <c r="H55" s="80"/>
      <c r="I55" s="80"/>
      <c r="J55" s="80"/>
      <c r="K55" s="80"/>
      <c r="L55" s="291"/>
      <c r="M55" s="291"/>
      <c r="N55" s="291"/>
    </row>
    <row r="56" spans="2:18" ht="16.2" thickBot="1" x14ac:dyDescent="0.35">
      <c r="B56" s="407" t="s">
        <v>528</v>
      </c>
      <c r="C56" s="407"/>
      <c r="D56" s="407"/>
      <c r="E56" s="407"/>
      <c r="F56" s="407"/>
      <c r="G56" s="407"/>
      <c r="H56" s="407"/>
      <c r="I56" s="407"/>
      <c r="J56" s="407"/>
      <c r="K56" s="407"/>
      <c r="L56" s="407"/>
      <c r="M56" s="407"/>
      <c r="N56" s="407"/>
    </row>
    <row r="57" spans="2:18" x14ac:dyDescent="0.3">
      <c r="B57" s="1"/>
      <c r="D57" s="7"/>
      <c r="E57" s="7"/>
      <c r="F57" s="7"/>
      <c r="G57" s="7"/>
      <c r="H57" s="7"/>
      <c r="I57" s="7"/>
      <c r="J57" s="7"/>
      <c r="K57" s="7"/>
    </row>
    <row r="58" spans="2:18" x14ac:dyDescent="0.3">
      <c r="B58" s="167" t="str">
        <f>'22C1'!S21</f>
        <v/>
      </c>
      <c r="C58" s="167">
        <f>'22C1'!T21</f>
        <v>0</v>
      </c>
      <c r="D58" s="444" t="s">
        <v>18</v>
      </c>
      <c r="E58" s="444"/>
      <c r="F58" s="444"/>
      <c r="G58" s="444"/>
      <c r="H58" s="444"/>
      <c r="I58" s="444"/>
      <c r="J58" s="444"/>
      <c r="K58" s="444"/>
    </row>
    <row r="59" spans="2:18" x14ac:dyDescent="0.3">
      <c r="B59" s="167" t="str">
        <f>'22C1'!S22</f>
        <v/>
      </c>
      <c r="C59" s="167">
        <f>'22C1'!T22</f>
        <v>0</v>
      </c>
      <c r="D59" s="500" t="s">
        <v>98</v>
      </c>
      <c r="E59" s="501"/>
      <c r="F59" s="501"/>
      <c r="G59" s="501"/>
      <c r="H59" s="501"/>
      <c r="I59" s="501"/>
      <c r="J59" s="501"/>
      <c r="K59" s="502"/>
    </row>
    <row r="60" spans="2:18" x14ac:dyDescent="0.3">
      <c r="B60" s="167" t="str">
        <f>'22C1'!S23</f>
        <v/>
      </c>
      <c r="C60" s="167">
        <f>'22C1'!T23</f>
        <v>0</v>
      </c>
      <c r="D60" s="503"/>
      <c r="E60" s="504"/>
      <c r="F60" s="504"/>
      <c r="G60" s="504"/>
      <c r="H60" s="504"/>
      <c r="I60" s="504"/>
      <c r="J60" s="504"/>
      <c r="K60" s="505"/>
      <c r="L60" s="7"/>
      <c r="M60" s="7"/>
      <c r="N60" s="7"/>
      <c r="O60" s="9"/>
      <c r="P60" s="9"/>
      <c r="Q60" s="9"/>
      <c r="R60" s="9"/>
    </row>
    <row r="61" spans="2:18" x14ac:dyDescent="0.3">
      <c r="B61" s="167" t="str">
        <f>'22C1'!S24</f>
        <v/>
      </c>
      <c r="C61" s="167">
        <f>'22C1'!T24</f>
        <v>0</v>
      </c>
      <c r="D61" s="444" t="s">
        <v>97</v>
      </c>
      <c r="E61" s="444"/>
      <c r="F61" s="444"/>
      <c r="G61" s="444"/>
      <c r="H61" s="444"/>
      <c r="I61" s="444"/>
      <c r="J61" s="444"/>
      <c r="K61" s="444"/>
      <c r="L61" s="9"/>
      <c r="M61" s="9"/>
      <c r="N61" s="9"/>
      <c r="O61" s="9"/>
      <c r="P61" s="9"/>
      <c r="Q61" s="9"/>
      <c r="R61" s="9"/>
    </row>
    <row r="62" spans="2:18" x14ac:dyDescent="0.3">
      <c r="B62" s="167" t="str">
        <f>'22C1'!S25</f>
        <v/>
      </c>
      <c r="C62" s="167">
        <f>'22C1'!T25</f>
        <v>0</v>
      </c>
      <c r="D62" s="506" t="s">
        <v>102</v>
      </c>
      <c r="E62" s="507"/>
      <c r="F62" s="507"/>
      <c r="G62" s="507"/>
      <c r="H62" s="507"/>
      <c r="I62" s="507"/>
      <c r="J62" s="507"/>
      <c r="K62" s="508"/>
      <c r="L62" s="155"/>
      <c r="M62" s="155"/>
      <c r="N62" s="155"/>
    </row>
    <row r="63" spans="2:18" x14ac:dyDescent="0.3">
      <c r="B63" s="167" t="str">
        <f>'22C1'!S26</f>
        <v/>
      </c>
      <c r="C63" s="167">
        <f>'22C1'!T26</f>
        <v>0</v>
      </c>
      <c r="D63" s="503"/>
      <c r="E63" s="504"/>
      <c r="F63" s="504"/>
      <c r="G63" s="504"/>
      <c r="H63" s="504"/>
      <c r="I63" s="504"/>
      <c r="J63" s="504"/>
      <c r="K63" s="505"/>
      <c r="L63" s="155"/>
      <c r="M63" s="155"/>
      <c r="N63" s="155"/>
    </row>
    <row r="64" spans="2:18" x14ac:dyDescent="0.3">
      <c r="B64" s="167" t="str">
        <f>'22C1'!S27</f>
        <v/>
      </c>
      <c r="C64" s="167">
        <f>'22C1'!T27</f>
        <v>0</v>
      </c>
      <c r="D64" s="444" t="s">
        <v>19</v>
      </c>
      <c r="E64" s="444"/>
      <c r="F64" s="444"/>
      <c r="G64" s="444"/>
      <c r="H64" s="444"/>
      <c r="I64" s="444"/>
      <c r="J64" s="444"/>
      <c r="K64" s="444"/>
      <c r="L64" s="177"/>
      <c r="M64" s="177"/>
      <c r="N64" s="177"/>
    </row>
    <row r="66" spans="2:18" ht="16.2" thickBot="1" x14ac:dyDescent="0.35">
      <c r="B66" s="407" t="s">
        <v>529</v>
      </c>
      <c r="C66" s="407"/>
      <c r="D66" s="407"/>
      <c r="E66" s="407"/>
      <c r="F66" s="407"/>
      <c r="G66" s="407"/>
      <c r="H66" s="407"/>
      <c r="I66" s="407"/>
      <c r="J66" s="407"/>
      <c r="K66" s="407"/>
      <c r="L66" s="407"/>
      <c r="M66" s="407"/>
      <c r="N66" s="407"/>
    </row>
    <row r="67" spans="2:18" x14ac:dyDescent="0.3">
      <c r="B67" s="1"/>
      <c r="L67" s="9"/>
      <c r="M67" s="9"/>
      <c r="N67" s="9"/>
      <c r="O67" s="9"/>
      <c r="P67" s="9"/>
      <c r="Q67" s="9"/>
      <c r="R67" s="9"/>
    </row>
    <row r="68" spans="2:18" x14ac:dyDescent="0.3">
      <c r="B68" s="1"/>
      <c r="D68" s="8"/>
      <c r="E68" s="56" t="s">
        <v>116</v>
      </c>
      <c r="F68" s="445">
        <f>'22C2a'!U16</f>
        <v>0</v>
      </c>
      <c r="G68" s="446"/>
    </row>
    <row r="69" spans="2:18" x14ac:dyDescent="0.3">
      <c r="B69" s="8"/>
      <c r="C69" s="8"/>
      <c r="D69" s="8"/>
      <c r="E69" s="8"/>
      <c r="F69" s="8"/>
      <c r="G69" s="8"/>
      <c r="H69" s="8"/>
      <c r="I69" s="8"/>
      <c r="J69" s="8"/>
      <c r="K69" s="8"/>
    </row>
    <row r="70" spans="2:18" x14ac:dyDescent="0.3">
      <c r="B70" s="8"/>
      <c r="C70" s="8"/>
      <c r="D70" s="8"/>
      <c r="E70" s="56" t="s">
        <v>115</v>
      </c>
      <c r="F70" s="139">
        <f>'22C2a'!U18</f>
        <v>0</v>
      </c>
      <c r="G70" s="8"/>
      <c r="H70" s="8"/>
      <c r="I70" s="8"/>
      <c r="J70" s="8"/>
      <c r="K70" s="8"/>
    </row>
    <row r="71" spans="2:18" x14ac:dyDescent="0.3">
      <c r="B71" s="8"/>
      <c r="C71" s="8"/>
      <c r="D71" s="8"/>
      <c r="E71" s="8"/>
      <c r="F71" s="8"/>
      <c r="G71" s="8"/>
      <c r="H71" s="8"/>
      <c r="I71" s="8"/>
      <c r="J71" s="8"/>
      <c r="K71" s="8"/>
    </row>
    <row r="72" spans="2:18" x14ac:dyDescent="0.3">
      <c r="B72" s="1"/>
      <c r="E72" s="56" t="s">
        <v>119</v>
      </c>
      <c r="F72" s="5">
        <f>'22C2a'!U20</f>
        <v>0</v>
      </c>
    </row>
    <row r="73" spans="2:18" x14ac:dyDescent="0.3">
      <c r="B73" s="1"/>
      <c r="E73" s="56"/>
    </row>
    <row r="74" spans="2:18" ht="16.2" thickBot="1" x14ac:dyDescent="0.35">
      <c r="B74" s="407" t="s">
        <v>530</v>
      </c>
      <c r="C74" s="407"/>
      <c r="D74" s="407"/>
      <c r="E74" s="407"/>
      <c r="F74" s="407"/>
      <c r="G74" s="407"/>
      <c r="H74" s="407"/>
      <c r="I74" s="407"/>
      <c r="J74" s="407"/>
      <c r="K74" s="407"/>
      <c r="L74" s="407"/>
      <c r="M74" s="407"/>
      <c r="N74" s="407"/>
    </row>
    <row r="75" spans="2:18" x14ac:dyDescent="0.3">
      <c r="B75" s="1"/>
      <c r="L75" s="9"/>
      <c r="M75" s="9"/>
      <c r="N75" s="9"/>
      <c r="O75" s="9"/>
      <c r="P75" s="9"/>
      <c r="Q75" s="9"/>
      <c r="R75" s="9"/>
    </row>
    <row r="76" spans="2:18" x14ac:dyDescent="0.3">
      <c r="B76" s="1"/>
      <c r="D76" s="8"/>
      <c r="E76" s="56" t="s">
        <v>429</v>
      </c>
      <c r="F76" s="139">
        <f>'22C2b'!U24</f>
        <v>0</v>
      </c>
      <c r="G76" s="8"/>
    </row>
    <row r="77" spans="2:18" x14ac:dyDescent="0.3">
      <c r="B77" s="8"/>
      <c r="C77" s="8"/>
      <c r="D77" s="8"/>
      <c r="E77" s="8"/>
      <c r="F77" s="8"/>
      <c r="G77" s="8"/>
      <c r="H77" s="8"/>
      <c r="I77" s="8"/>
      <c r="J77" s="8"/>
      <c r="K77" s="8"/>
    </row>
    <row r="78" spans="2:18" x14ac:dyDescent="0.3">
      <c r="B78" s="8"/>
      <c r="C78" s="8"/>
      <c r="D78" s="8"/>
      <c r="E78" s="56" t="s">
        <v>531</v>
      </c>
      <c r="F78" s="139">
        <f>'22C2b'!Y20</f>
        <v>0</v>
      </c>
      <c r="G78" s="8"/>
      <c r="H78" s="8"/>
      <c r="I78" s="8"/>
      <c r="J78" s="8"/>
      <c r="K78" s="8"/>
    </row>
    <row r="79" spans="2:18" x14ac:dyDescent="0.3">
      <c r="B79" s="9"/>
      <c r="C79" s="9"/>
      <c r="D79" s="7"/>
    </row>
    <row r="80" spans="2:18" ht="16.2" thickBot="1" x14ac:dyDescent="0.35">
      <c r="B80" s="407" t="s">
        <v>532</v>
      </c>
      <c r="C80" s="407"/>
      <c r="D80" s="407"/>
      <c r="E80" s="407"/>
      <c r="F80" s="407"/>
      <c r="G80" s="407"/>
      <c r="H80" s="407"/>
      <c r="I80" s="407"/>
      <c r="J80" s="407"/>
      <c r="K80" s="407"/>
      <c r="L80" s="407"/>
      <c r="M80" s="407"/>
      <c r="N80" s="407"/>
    </row>
    <row r="82" spans="3:12" ht="15.75" customHeight="1" x14ac:dyDescent="0.3">
      <c r="C82" s="188" t="s">
        <v>220</v>
      </c>
      <c r="D82" s="169"/>
      <c r="E82" s="169"/>
      <c r="F82" s="169"/>
      <c r="G82" s="169"/>
      <c r="H82" s="169"/>
      <c r="I82" s="169"/>
      <c r="J82" s="169"/>
      <c r="K82" s="169"/>
      <c r="L82" s="169"/>
    </row>
    <row r="83" spans="3:12" x14ac:dyDescent="0.3">
      <c r="E83" s="139">
        <f>'22C2c'!U18</f>
        <v>0</v>
      </c>
      <c r="F83" s="434" t="s">
        <v>221</v>
      </c>
      <c r="G83" s="434"/>
      <c r="H83" s="434"/>
      <c r="I83" s="434"/>
      <c r="J83" s="434"/>
      <c r="K83" s="434"/>
      <c r="L83" s="434"/>
    </row>
    <row r="84" spans="3:12" x14ac:dyDescent="0.3">
      <c r="E84" s="139">
        <f>'22C2c'!U19</f>
        <v>0</v>
      </c>
      <c r="F84" s="1" t="s">
        <v>222</v>
      </c>
    </row>
    <row r="85" spans="3:12" ht="15.75" customHeight="1" x14ac:dyDescent="0.3">
      <c r="D85" s="86"/>
      <c r="E85" s="206" t="s">
        <v>223</v>
      </c>
    </row>
    <row r="86" spans="3:12" x14ac:dyDescent="0.3">
      <c r="E86" s="139">
        <f>'22C2c'!U21</f>
        <v>0</v>
      </c>
      <c r="F86" s="434" t="s">
        <v>224</v>
      </c>
      <c r="G86" s="434"/>
      <c r="H86" s="434"/>
      <c r="I86" s="434"/>
      <c r="J86" s="434"/>
      <c r="K86" s="434"/>
      <c r="L86" s="434"/>
    </row>
    <row r="87" spans="3:12" x14ac:dyDescent="0.3">
      <c r="E87" s="139">
        <f>'22C2c'!U22</f>
        <v>0</v>
      </c>
      <c r="F87" s="1" t="s">
        <v>225</v>
      </c>
    </row>
    <row r="88" spans="3:12" x14ac:dyDescent="0.3">
      <c r="E88" s="139">
        <f>'22C2c'!U23</f>
        <v>0</v>
      </c>
      <c r="F88" s="1" t="s">
        <v>226</v>
      </c>
    </row>
    <row r="89" spans="3:12" x14ac:dyDescent="0.3">
      <c r="E89" s="139">
        <f>'22C2c'!U24</f>
        <v>0</v>
      </c>
      <c r="F89" s="1" t="s">
        <v>227</v>
      </c>
    </row>
    <row r="90" spans="3:12" x14ac:dyDescent="0.3">
      <c r="C90" s="188" t="s">
        <v>228</v>
      </c>
      <c r="D90" s="8"/>
      <c r="E90" s="8"/>
      <c r="F90" s="8"/>
      <c r="G90" s="8"/>
      <c r="H90" s="8"/>
      <c r="I90" s="8"/>
      <c r="J90" s="8"/>
      <c r="K90" s="8"/>
      <c r="L90" s="8"/>
    </row>
    <row r="91" spans="3:12" x14ac:dyDescent="0.3">
      <c r="C91" s="188"/>
      <c r="D91" s="8"/>
      <c r="E91" s="498" t="s">
        <v>229</v>
      </c>
      <c r="F91" s="498"/>
      <c r="G91" s="498"/>
      <c r="H91" s="498"/>
      <c r="I91" s="498"/>
      <c r="J91" s="498"/>
      <c r="K91" s="498"/>
      <c r="L91" s="498"/>
    </row>
    <row r="92" spans="3:12" x14ac:dyDescent="0.3">
      <c r="E92" s="139">
        <f>'22C2c'!U27</f>
        <v>0</v>
      </c>
      <c r="F92" s="434" t="s">
        <v>230</v>
      </c>
      <c r="G92" s="434"/>
      <c r="H92" s="434"/>
      <c r="I92" s="434"/>
      <c r="J92" s="434"/>
      <c r="K92" s="434"/>
      <c r="L92" s="434"/>
    </row>
    <row r="93" spans="3:12" x14ac:dyDescent="0.3">
      <c r="E93" s="139">
        <f>'22C2c'!U28</f>
        <v>0</v>
      </c>
      <c r="F93" s="1" t="s">
        <v>231</v>
      </c>
    </row>
    <row r="94" spans="3:12" x14ac:dyDescent="0.3">
      <c r="C94" s="88"/>
      <c r="D94" s="89"/>
      <c r="E94" s="139">
        <f>'22C2c'!U29</f>
        <v>0</v>
      </c>
      <c r="F94" s="1" t="s">
        <v>353</v>
      </c>
    </row>
    <row r="95" spans="3:12" x14ac:dyDescent="0.3">
      <c r="C95" s="88"/>
      <c r="D95" s="89"/>
      <c r="E95" s="139">
        <f>'22C2c'!U30</f>
        <v>0</v>
      </c>
      <c r="F95" s="1" t="s">
        <v>232</v>
      </c>
    </row>
    <row r="96" spans="3:12" x14ac:dyDescent="0.3">
      <c r="C96" s="88"/>
      <c r="D96" s="89"/>
      <c r="E96" s="139">
        <f>'22C2c'!U31</f>
        <v>0</v>
      </c>
      <c r="F96" s="1" t="s">
        <v>233</v>
      </c>
    </row>
    <row r="97" spans="2:14" x14ac:dyDescent="0.3">
      <c r="C97" s="88"/>
      <c r="D97" s="91"/>
      <c r="E97" s="139">
        <f>'22C2c'!U32</f>
        <v>0</v>
      </c>
      <c r="F97" s="1" t="s">
        <v>234</v>
      </c>
    </row>
    <row r="98" spans="2:14" x14ac:dyDescent="0.3">
      <c r="G98" s="56"/>
    </row>
    <row r="99" spans="2:14" x14ac:dyDescent="0.3">
      <c r="G99" s="56" t="s">
        <v>129</v>
      </c>
      <c r="H99" s="139">
        <f>'22C2c'!X34</f>
        <v>0</v>
      </c>
    </row>
    <row r="101" spans="2:14" ht="16.2" thickBot="1" x14ac:dyDescent="0.35">
      <c r="B101" s="407" t="s">
        <v>533</v>
      </c>
      <c r="C101" s="407"/>
      <c r="D101" s="407"/>
      <c r="E101" s="407"/>
      <c r="F101" s="407"/>
      <c r="G101" s="407"/>
      <c r="H101" s="407"/>
      <c r="I101" s="407"/>
      <c r="J101" s="407"/>
      <c r="K101" s="407"/>
      <c r="L101" s="407"/>
      <c r="M101" s="407"/>
      <c r="N101" s="407"/>
    </row>
    <row r="102" spans="2:14" x14ac:dyDescent="0.3">
      <c r="B102" s="1"/>
    </row>
    <row r="103" spans="2:14" x14ac:dyDescent="0.3">
      <c r="B103" s="1"/>
      <c r="E103" s="56" t="s">
        <v>115</v>
      </c>
      <c r="F103" s="5">
        <f>'22C3'!X21</f>
        <v>0</v>
      </c>
    </row>
    <row r="104" spans="2:14" x14ac:dyDescent="0.3">
      <c r="B104" s="1"/>
    </row>
    <row r="105" spans="2:14" x14ac:dyDescent="0.3">
      <c r="B105" s="1"/>
      <c r="D105" s="8"/>
      <c r="E105" s="56" t="s">
        <v>123</v>
      </c>
      <c r="F105" s="5">
        <f>IF('22C3'!X21="YES",'22C3'!AB17,'22C3'!AB19)</f>
        <v>0</v>
      </c>
      <c r="I105" s="56"/>
      <c r="L105" s="56"/>
    </row>
    <row r="106" spans="2:14" x14ac:dyDescent="0.3">
      <c r="B106" s="8"/>
      <c r="C106" s="8"/>
      <c r="D106" s="8"/>
      <c r="E106" s="8"/>
      <c r="F106" s="8"/>
      <c r="G106" s="8"/>
      <c r="H106" s="8"/>
      <c r="I106" s="8"/>
      <c r="J106" s="8"/>
      <c r="K106" s="8"/>
      <c r="L106" s="8"/>
      <c r="M106" s="8"/>
      <c r="N106" s="8"/>
    </row>
    <row r="107" spans="2:14" ht="16.2" thickBot="1" x14ac:dyDescent="0.35">
      <c r="B107" s="407" t="s">
        <v>534</v>
      </c>
      <c r="C107" s="407"/>
      <c r="D107" s="407"/>
      <c r="E107" s="407"/>
      <c r="F107" s="407"/>
      <c r="G107" s="407"/>
      <c r="H107" s="407"/>
      <c r="I107" s="407"/>
      <c r="J107" s="407"/>
      <c r="K107" s="407"/>
      <c r="L107" s="407"/>
      <c r="M107" s="407"/>
      <c r="N107" s="407"/>
    </row>
    <row r="109" spans="2:14" ht="15.75" customHeight="1" x14ac:dyDescent="0.3">
      <c r="B109" s="486"/>
      <c r="C109" s="486"/>
      <c r="D109" s="487" t="s">
        <v>110</v>
      </c>
      <c r="E109" s="488"/>
      <c r="F109" s="488"/>
      <c r="G109" s="488"/>
      <c r="H109" s="488"/>
      <c r="I109" s="488"/>
      <c r="J109" s="488"/>
      <c r="K109" s="488"/>
    </row>
    <row r="110" spans="2:14" ht="15.75" customHeight="1" x14ac:dyDescent="0.3">
      <c r="B110" s="95" t="str">
        <f>IF(C110="X",'22C4'!P23,"")</f>
        <v/>
      </c>
      <c r="C110" s="95">
        <f>'22C4'!Q23</f>
        <v>0</v>
      </c>
      <c r="D110" s="489" t="s">
        <v>535</v>
      </c>
      <c r="E110" s="490"/>
      <c r="F110" s="490"/>
      <c r="G110" s="490"/>
      <c r="H110" s="490"/>
      <c r="I110" s="490"/>
      <c r="J110" s="490"/>
      <c r="K110" s="491"/>
    </row>
    <row r="111" spans="2:14" ht="15.75" customHeight="1" x14ac:dyDescent="0.3">
      <c r="B111" s="95" t="str">
        <f>IF(C111="X",'22C4'!P23,"")</f>
        <v/>
      </c>
      <c r="C111" s="95">
        <f>'22C4'!Q25</f>
        <v>0</v>
      </c>
      <c r="D111" s="444" t="s">
        <v>536</v>
      </c>
      <c r="E111" s="444"/>
      <c r="F111" s="444"/>
      <c r="G111" s="444"/>
      <c r="H111" s="444"/>
      <c r="I111" s="444"/>
      <c r="J111" s="444"/>
      <c r="K111" s="444"/>
    </row>
    <row r="112" spans="2:14" ht="15.75" customHeight="1" x14ac:dyDescent="0.3">
      <c r="B112" s="95" t="str">
        <f>'22C4'!P27</f>
        <v/>
      </c>
      <c r="C112" s="95">
        <f>'22C4'!Q27</f>
        <v>0</v>
      </c>
      <c r="D112" s="444" t="s">
        <v>537</v>
      </c>
      <c r="E112" s="444"/>
      <c r="F112" s="444"/>
      <c r="G112" s="444"/>
      <c r="H112" s="444"/>
      <c r="I112" s="444"/>
      <c r="J112" s="444"/>
      <c r="K112" s="444"/>
    </row>
    <row r="114" spans="2:14" ht="16.2" thickBot="1" x14ac:dyDescent="0.35">
      <c r="B114" s="407" t="s">
        <v>538</v>
      </c>
      <c r="C114" s="407"/>
      <c r="D114" s="407"/>
      <c r="E114" s="407"/>
      <c r="F114" s="407"/>
      <c r="G114" s="407"/>
      <c r="H114" s="407"/>
      <c r="I114" s="407"/>
      <c r="J114" s="407"/>
      <c r="K114" s="407"/>
      <c r="L114" s="407"/>
      <c r="M114" s="407"/>
      <c r="N114" s="407"/>
    </row>
    <row r="115" spans="2:14" x14ac:dyDescent="0.3">
      <c r="B115" s="1"/>
      <c r="D115" s="7"/>
      <c r="E115" s="7"/>
      <c r="F115" s="7"/>
      <c r="G115" s="7"/>
      <c r="H115" s="7"/>
      <c r="I115" s="7"/>
      <c r="J115" s="7"/>
      <c r="K115" s="7"/>
    </row>
    <row r="116" spans="2:14" x14ac:dyDescent="0.3">
      <c r="B116" s="1"/>
      <c r="D116" s="7"/>
      <c r="E116" s="7"/>
      <c r="F116" s="7"/>
      <c r="G116" s="7"/>
      <c r="H116" s="7"/>
      <c r="I116" s="7"/>
      <c r="J116" s="7"/>
      <c r="K116" s="22" t="s">
        <v>29</v>
      </c>
      <c r="L116" s="6">
        <f>'22C5'!AN30</f>
        <v>0</v>
      </c>
    </row>
    <row r="117" spans="2:14" ht="46.8" x14ac:dyDescent="0.3">
      <c r="B117" s="87" t="s">
        <v>52</v>
      </c>
      <c r="C117" s="87" t="s">
        <v>387</v>
      </c>
      <c r="D117" s="230" t="s">
        <v>32</v>
      </c>
      <c r="E117" s="410" t="s">
        <v>176</v>
      </c>
      <c r="F117" s="410"/>
      <c r="G117" s="410"/>
      <c r="H117" s="410"/>
      <c r="I117" s="410"/>
      <c r="J117" s="410"/>
      <c r="K117" s="410"/>
      <c r="L117" s="410"/>
    </row>
    <row r="118" spans="2:14" ht="78.75" customHeight="1" x14ac:dyDescent="0.3">
      <c r="B118" s="179" t="str">
        <f>'22C5'!AD32</f>
        <v/>
      </c>
      <c r="C118" s="179" t="str">
        <f>'22C5'!AE32</f>
        <v/>
      </c>
      <c r="D118" s="187" t="s">
        <v>302</v>
      </c>
      <c r="E118" s="473" t="s">
        <v>309</v>
      </c>
      <c r="F118" s="474"/>
      <c r="G118" s="474"/>
      <c r="H118" s="474"/>
      <c r="I118" s="474"/>
      <c r="J118" s="474"/>
      <c r="K118" s="474"/>
      <c r="L118" s="475"/>
    </row>
    <row r="119" spans="2:14" ht="143.25" customHeight="1" x14ac:dyDescent="0.3">
      <c r="B119" s="179" t="str">
        <f>'22C5'!AD33</f>
        <v/>
      </c>
      <c r="C119" s="179" t="str">
        <f>'22C5'!AE33</f>
        <v/>
      </c>
      <c r="D119" s="187" t="s">
        <v>303</v>
      </c>
      <c r="E119" s="473" t="s">
        <v>311</v>
      </c>
      <c r="F119" s="474"/>
      <c r="G119" s="474"/>
      <c r="H119" s="474"/>
      <c r="I119" s="474"/>
      <c r="J119" s="474"/>
      <c r="K119" s="474"/>
      <c r="L119" s="475"/>
    </row>
    <row r="120" spans="2:14" ht="80.25" customHeight="1" x14ac:dyDescent="0.3">
      <c r="B120" s="179" t="str">
        <f>'22C5'!AD34</f>
        <v/>
      </c>
      <c r="C120" s="179" t="str">
        <f>'22C5'!AE34</f>
        <v/>
      </c>
      <c r="D120" s="187" t="s">
        <v>304</v>
      </c>
      <c r="E120" s="473" t="s">
        <v>312</v>
      </c>
      <c r="F120" s="474"/>
      <c r="G120" s="474"/>
      <c r="H120" s="474"/>
      <c r="I120" s="474"/>
      <c r="J120" s="474"/>
      <c r="K120" s="474"/>
      <c r="L120" s="475"/>
    </row>
    <row r="121" spans="2:14" ht="21" customHeight="1" x14ac:dyDescent="0.3">
      <c r="B121" s="179" t="str">
        <f>'22C5'!AD35</f>
        <v/>
      </c>
      <c r="C121" s="179" t="str">
        <f>'22C5'!AE35</f>
        <v/>
      </c>
      <c r="D121" s="187" t="s">
        <v>305</v>
      </c>
      <c r="E121" s="447" t="s">
        <v>313</v>
      </c>
      <c r="F121" s="448"/>
      <c r="G121" s="448"/>
      <c r="H121" s="448"/>
      <c r="I121" s="448"/>
      <c r="J121" s="448"/>
      <c r="K121" s="448"/>
      <c r="L121" s="449"/>
    </row>
    <row r="122" spans="2:14" ht="78.75" customHeight="1" x14ac:dyDescent="0.3">
      <c r="B122" s="179" t="str">
        <f>'22C5'!AD36</f>
        <v/>
      </c>
      <c r="C122" s="179" t="str">
        <f>'22C5'!AE36</f>
        <v/>
      </c>
      <c r="D122" s="187" t="s">
        <v>306</v>
      </c>
      <c r="E122" s="473" t="s">
        <v>314</v>
      </c>
      <c r="F122" s="474"/>
      <c r="G122" s="474"/>
      <c r="H122" s="474"/>
      <c r="I122" s="474"/>
      <c r="J122" s="474"/>
      <c r="K122" s="474"/>
      <c r="L122" s="475"/>
    </row>
    <row r="123" spans="2:14" ht="32.25" customHeight="1" x14ac:dyDescent="0.3">
      <c r="B123" s="179" t="str">
        <f>'22C5'!AD37</f>
        <v/>
      </c>
      <c r="C123" s="179" t="str">
        <f>'22C5'!AE37</f>
        <v/>
      </c>
      <c r="D123" s="187" t="s">
        <v>307</v>
      </c>
      <c r="E123" s="473" t="s">
        <v>315</v>
      </c>
      <c r="F123" s="474"/>
      <c r="G123" s="474"/>
      <c r="H123" s="474"/>
      <c r="I123" s="474"/>
      <c r="J123" s="474"/>
      <c r="K123" s="474"/>
      <c r="L123" s="475"/>
    </row>
    <row r="124" spans="2:14" ht="81.75" customHeight="1" x14ac:dyDescent="0.3">
      <c r="B124" s="179" t="str">
        <f>'22C5'!AD38</f>
        <v/>
      </c>
      <c r="C124" s="179" t="str">
        <f>'22C5'!AE38</f>
        <v/>
      </c>
      <c r="D124" s="187" t="s">
        <v>308</v>
      </c>
      <c r="E124" s="473" t="s">
        <v>316</v>
      </c>
      <c r="F124" s="474"/>
      <c r="G124" s="474"/>
      <c r="H124" s="474"/>
      <c r="I124" s="474"/>
      <c r="J124" s="474"/>
      <c r="K124" s="474"/>
      <c r="L124" s="475"/>
    </row>
    <row r="126" spans="2:14" ht="16.2" thickBot="1" x14ac:dyDescent="0.35">
      <c r="B126" s="407" t="s">
        <v>539</v>
      </c>
      <c r="C126" s="407"/>
      <c r="D126" s="407"/>
      <c r="E126" s="407"/>
      <c r="F126" s="407"/>
      <c r="G126" s="407"/>
      <c r="H126" s="407"/>
      <c r="I126" s="407"/>
      <c r="J126" s="407"/>
      <c r="K126" s="407"/>
      <c r="L126" s="407"/>
      <c r="M126" s="407"/>
      <c r="N126" s="407"/>
    </row>
    <row r="127" spans="2:14" x14ac:dyDescent="0.3">
      <c r="B127" s="1"/>
      <c r="D127" s="7"/>
      <c r="E127" s="7"/>
      <c r="F127" s="7"/>
      <c r="G127" s="7"/>
      <c r="H127" s="7"/>
      <c r="I127" s="7"/>
      <c r="J127" s="7"/>
      <c r="K127" s="7"/>
    </row>
    <row r="128" spans="2:14" x14ac:dyDescent="0.3">
      <c r="B128" s="167" t="str">
        <f>'22D1'!S21</f>
        <v/>
      </c>
      <c r="C128" s="167">
        <f>'22D1'!T21</f>
        <v>0</v>
      </c>
      <c r="D128" s="473" t="s">
        <v>542</v>
      </c>
      <c r="E128" s="474"/>
      <c r="F128" s="474"/>
      <c r="G128" s="474"/>
      <c r="H128" s="474"/>
      <c r="I128" s="474"/>
      <c r="J128" s="474"/>
      <c r="K128" s="475"/>
    </row>
    <row r="129" spans="2:14" x14ac:dyDescent="0.3">
      <c r="B129" s="167" t="str">
        <f>'22D1'!S22</f>
        <v/>
      </c>
      <c r="C129" s="167">
        <f>'22D1'!T22</f>
        <v>0</v>
      </c>
      <c r="D129" s="473" t="s">
        <v>543</v>
      </c>
      <c r="E129" s="474"/>
      <c r="F129" s="474"/>
      <c r="G129" s="474"/>
      <c r="H129" s="474"/>
      <c r="I129" s="474"/>
      <c r="J129" s="474"/>
      <c r="K129" s="475"/>
    </row>
    <row r="130" spans="2:14" x14ac:dyDescent="0.3">
      <c r="B130" s="1"/>
      <c r="D130" s="8"/>
    </row>
    <row r="131" spans="2:14" ht="16.2" thickBot="1" x14ac:dyDescent="0.35">
      <c r="B131" s="407" t="s">
        <v>541</v>
      </c>
      <c r="C131" s="407"/>
      <c r="D131" s="407"/>
      <c r="E131" s="407"/>
      <c r="F131" s="407"/>
      <c r="G131" s="407"/>
      <c r="H131" s="407"/>
      <c r="I131" s="407"/>
      <c r="J131" s="407"/>
      <c r="K131" s="407"/>
      <c r="L131" s="407"/>
      <c r="M131" s="407"/>
      <c r="N131" s="407"/>
    </row>
    <row r="132" spans="2:14" x14ac:dyDescent="0.3">
      <c r="B132" s="1"/>
      <c r="D132" s="7"/>
      <c r="E132" s="7"/>
      <c r="F132" s="7"/>
      <c r="G132" s="7"/>
      <c r="H132" s="7"/>
      <c r="I132" s="7"/>
      <c r="J132" s="7"/>
      <c r="K132" s="7"/>
    </row>
    <row r="133" spans="2:14" ht="15.75" customHeight="1" x14ac:dyDescent="0.3">
      <c r="B133" s="462" t="s">
        <v>407</v>
      </c>
      <c r="C133" s="462"/>
      <c r="D133" s="462"/>
      <c r="E133" s="462"/>
      <c r="F133" s="462"/>
      <c r="G133" s="462"/>
      <c r="H133" s="462"/>
      <c r="I133" s="462"/>
      <c r="J133" s="462"/>
      <c r="K133" s="462"/>
    </row>
    <row r="134" spans="2:14" ht="15.75" customHeight="1" x14ac:dyDescent="0.3">
      <c r="B134" s="266"/>
      <c r="C134" s="266"/>
      <c r="D134" s="266"/>
      <c r="E134" s="266"/>
      <c r="F134" s="266"/>
      <c r="G134" s="266"/>
      <c r="H134" s="266"/>
      <c r="I134" s="266"/>
      <c r="J134" s="266"/>
      <c r="K134" s="266"/>
    </row>
    <row r="135" spans="2:14" ht="49.5" customHeight="1" x14ac:dyDescent="0.3">
      <c r="B135" s="167" t="str">
        <f>'22D2'!S31</f>
        <v/>
      </c>
      <c r="C135" s="167">
        <f>'22D2'!T31</f>
        <v>0</v>
      </c>
      <c r="D135" s="447" t="s">
        <v>493</v>
      </c>
      <c r="E135" s="448"/>
      <c r="F135" s="448"/>
      <c r="G135" s="449"/>
      <c r="H135" s="447" t="s">
        <v>392</v>
      </c>
      <c r="I135" s="448"/>
      <c r="J135" s="448"/>
      <c r="K135" s="449"/>
    </row>
    <row r="136" spans="2:14" x14ac:dyDescent="0.3">
      <c r="C136" s="338"/>
      <c r="D136" s="338"/>
      <c r="E136" s="338"/>
      <c r="F136" s="338"/>
      <c r="G136" s="338"/>
      <c r="H136" s="338"/>
      <c r="I136" s="338"/>
      <c r="J136" s="338"/>
      <c r="K136" s="338"/>
    </row>
    <row r="137" spans="2:14" ht="20.399999999999999" x14ac:dyDescent="0.35">
      <c r="B137" s="450" t="s">
        <v>215</v>
      </c>
      <c r="C137" s="451"/>
      <c r="D137" s="451"/>
      <c r="E137" s="451"/>
      <c r="F137" s="451"/>
      <c r="G137" s="451"/>
      <c r="H137" s="451"/>
      <c r="I137" s="451"/>
      <c r="J137" s="451"/>
      <c r="K137" s="451"/>
    </row>
    <row r="138" spans="2:14" x14ac:dyDescent="0.3">
      <c r="B138" s="265"/>
      <c r="C138" s="175"/>
      <c r="D138" s="175"/>
      <c r="E138" s="175"/>
      <c r="F138" s="175"/>
      <c r="G138" s="175"/>
      <c r="H138" s="175"/>
      <c r="I138" s="175"/>
      <c r="J138" s="175"/>
      <c r="K138" s="175"/>
    </row>
    <row r="139" spans="2:14" x14ac:dyDescent="0.3">
      <c r="B139" s="452" t="s">
        <v>408</v>
      </c>
      <c r="C139" s="453"/>
      <c r="D139" s="453"/>
      <c r="E139" s="453"/>
      <c r="F139" s="453"/>
      <c r="G139" s="453"/>
      <c r="H139" s="453"/>
      <c r="I139" s="453"/>
      <c r="J139" s="453"/>
      <c r="K139" s="453"/>
    </row>
    <row r="140" spans="2:14" x14ac:dyDescent="0.3">
      <c r="B140" s="454" t="str">
        <f>IF(SUM(B141,B143)&gt;6,"ERROR: SELECT ONLY ONE OWNERSHIP PERCENTAGE FOR BIPOC-LED ENTITY.","")</f>
        <v/>
      </c>
      <c r="C140" s="455"/>
      <c r="D140" s="455"/>
      <c r="E140" s="455"/>
      <c r="F140" s="455"/>
      <c r="G140" s="455"/>
      <c r="H140" s="455"/>
      <c r="I140" s="455"/>
      <c r="J140" s="455"/>
      <c r="K140" s="455"/>
    </row>
    <row r="141" spans="2:14" ht="63.75" customHeight="1" x14ac:dyDescent="0.3">
      <c r="B141" s="167" t="str">
        <f>'22D2'!S37</f>
        <v/>
      </c>
      <c r="C141" s="167">
        <f>'22D2'!T37</f>
        <v>0</v>
      </c>
      <c r="D141" s="447" t="s">
        <v>494</v>
      </c>
      <c r="E141" s="448"/>
      <c r="F141" s="448"/>
      <c r="G141" s="449"/>
      <c r="H141" s="447" t="s">
        <v>393</v>
      </c>
      <c r="I141" s="448"/>
      <c r="J141" s="448"/>
      <c r="K141" s="449"/>
    </row>
    <row r="142" spans="2:14" x14ac:dyDescent="0.3">
      <c r="B142" s="456" t="s">
        <v>395</v>
      </c>
      <c r="C142" s="457"/>
      <c r="D142" s="457"/>
      <c r="E142" s="457"/>
      <c r="F142" s="457"/>
      <c r="G142" s="457"/>
      <c r="H142" s="457"/>
      <c r="I142" s="457"/>
      <c r="J142" s="457"/>
      <c r="K142" s="457"/>
    </row>
    <row r="143" spans="2:14" ht="67.5" customHeight="1" x14ac:dyDescent="0.3">
      <c r="B143" s="167" t="str">
        <f>'22D2'!S39</f>
        <v/>
      </c>
      <c r="C143" s="167">
        <f>'22D2'!T39</f>
        <v>0</v>
      </c>
      <c r="D143" s="447" t="s">
        <v>396</v>
      </c>
      <c r="E143" s="448"/>
      <c r="F143" s="448"/>
      <c r="G143" s="449"/>
      <c r="H143" s="458" t="s">
        <v>397</v>
      </c>
      <c r="I143" s="459"/>
      <c r="J143" s="459"/>
      <c r="K143" s="460"/>
    </row>
    <row r="144" spans="2:14" x14ac:dyDescent="0.3">
      <c r="B144" s="456" t="s">
        <v>394</v>
      </c>
      <c r="C144" s="457"/>
      <c r="D144" s="457"/>
      <c r="E144" s="457"/>
      <c r="F144" s="457"/>
      <c r="G144" s="457"/>
      <c r="H144" s="457"/>
      <c r="I144" s="457"/>
      <c r="J144" s="457"/>
      <c r="K144" s="457"/>
    </row>
    <row r="145" spans="2:14" ht="16.5" customHeight="1" x14ac:dyDescent="0.3">
      <c r="B145" s="492" t="str">
        <f>'22D2'!S41</f>
        <v/>
      </c>
      <c r="C145" s="167">
        <f>'22D2'!T41</f>
        <v>0</v>
      </c>
      <c r="D145" s="447" t="s">
        <v>495</v>
      </c>
      <c r="E145" s="448"/>
      <c r="F145" s="448"/>
      <c r="G145" s="448"/>
      <c r="H145" s="448"/>
      <c r="I145" s="448"/>
      <c r="J145" s="448"/>
      <c r="K145" s="449"/>
    </row>
    <row r="146" spans="2:14" ht="16.5" customHeight="1" x14ac:dyDescent="0.3">
      <c r="B146" s="493"/>
      <c r="C146" s="167">
        <f>'22D2'!T42</f>
        <v>0</v>
      </c>
      <c r="D146" s="447" t="s">
        <v>496</v>
      </c>
      <c r="E146" s="448"/>
      <c r="F146" s="448"/>
      <c r="G146" s="448"/>
      <c r="H146" s="448"/>
      <c r="I146" s="448"/>
      <c r="J146" s="448"/>
      <c r="K146" s="449"/>
    </row>
    <row r="147" spans="2:14" ht="15.75" customHeight="1" x14ac:dyDescent="0.3">
      <c r="B147" s="494"/>
      <c r="C147" s="167">
        <f>'22D2'!T43</f>
        <v>0</v>
      </c>
      <c r="D147" s="447" t="s">
        <v>497</v>
      </c>
      <c r="E147" s="448"/>
      <c r="F147" s="448"/>
      <c r="G147" s="448"/>
      <c r="H147" s="448"/>
      <c r="I147" s="448"/>
      <c r="J147" s="448"/>
      <c r="K147" s="449"/>
    </row>
    <row r="149" spans="2:14" ht="16.2" thickBot="1" x14ac:dyDescent="0.35">
      <c r="B149" s="407" t="s">
        <v>540</v>
      </c>
      <c r="C149" s="407"/>
      <c r="D149" s="407"/>
      <c r="E149" s="407"/>
      <c r="F149" s="407"/>
      <c r="G149" s="407"/>
      <c r="H149" s="407"/>
      <c r="I149" s="407"/>
      <c r="J149" s="407"/>
      <c r="K149" s="407"/>
      <c r="L149" s="407"/>
      <c r="M149" s="407"/>
      <c r="N149" s="407"/>
    </row>
    <row r="150" spans="2:14" x14ac:dyDescent="0.3">
      <c r="B150" s="1"/>
      <c r="D150" s="7"/>
      <c r="E150" s="7"/>
      <c r="F150" s="7"/>
      <c r="G150" s="7"/>
      <c r="H150" s="7"/>
      <c r="I150" s="7"/>
      <c r="J150" s="7"/>
      <c r="K150" s="7"/>
    </row>
    <row r="151" spans="2:14" ht="48" customHeight="1" x14ac:dyDescent="0.3">
      <c r="B151" s="167" t="str">
        <f>'22D3'!Q21</f>
        <v/>
      </c>
      <c r="C151" s="167">
        <f>'22D3'!R21</f>
        <v>0</v>
      </c>
      <c r="D151" s="444" t="s">
        <v>164</v>
      </c>
      <c r="E151" s="444"/>
      <c r="F151" s="444"/>
      <c r="G151" s="444"/>
      <c r="H151" s="444"/>
      <c r="I151" s="444"/>
      <c r="J151" s="444"/>
      <c r="K151" s="444"/>
    </row>
    <row r="152" spans="2:14" x14ac:dyDescent="0.3">
      <c r="B152" s="1"/>
      <c r="D152" s="8"/>
    </row>
    <row r="153" spans="2:14" ht="16.2" thickBot="1" x14ac:dyDescent="0.35">
      <c r="B153" s="407" t="s">
        <v>544</v>
      </c>
      <c r="C153" s="407"/>
      <c r="D153" s="407"/>
      <c r="E153" s="407"/>
      <c r="F153" s="407"/>
      <c r="G153" s="407"/>
      <c r="H153" s="407"/>
      <c r="I153" s="407"/>
      <c r="J153" s="407"/>
      <c r="K153" s="407"/>
      <c r="L153" s="407"/>
      <c r="M153" s="407"/>
      <c r="N153" s="407"/>
    </row>
    <row r="154" spans="2:14" x14ac:dyDescent="0.3">
      <c r="B154" s="1"/>
      <c r="E154" s="155"/>
      <c r="F154" s="155"/>
      <c r="G154" s="155"/>
      <c r="H154" s="155"/>
    </row>
    <row r="155" spans="2:14" x14ac:dyDescent="0.3">
      <c r="B155" s="1"/>
      <c r="H155" s="168" t="s">
        <v>66</v>
      </c>
      <c r="I155" s="154">
        <f>'22E1'!W36</f>
        <v>0</v>
      </c>
    </row>
    <row r="156" spans="2:14" x14ac:dyDescent="0.3">
      <c r="B156" s="1"/>
    </row>
    <row r="157" spans="2:14" x14ac:dyDescent="0.3">
      <c r="B157" s="1"/>
      <c r="C157" s="462" t="s">
        <v>204</v>
      </c>
      <c r="D157" s="462"/>
      <c r="E157" s="462"/>
      <c r="F157" s="462"/>
      <c r="G157" s="462"/>
      <c r="H157" s="462"/>
      <c r="I157" s="462"/>
    </row>
    <row r="158" spans="2:14" ht="31.2" x14ac:dyDescent="0.3">
      <c r="B158" s="87" t="s">
        <v>208</v>
      </c>
      <c r="C158" s="230" t="s">
        <v>67</v>
      </c>
      <c r="D158" s="184" t="s">
        <v>206</v>
      </c>
      <c r="E158" s="87"/>
      <c r="F158" s="9"/>
      <c r="G158" s="54"/>
      <c r="H158" s="87" t="s">
        <v>60</v>
      </c>
      <c r="I158" s="87" t="s">
        <v>207</v>
      </c>
      <c r="J158" s="87" t="s">
        <v>61</v>
      </c>
    </row>
    <row r="159" spans="2:14" x14ac:dyDescent="0.3">
      <c r="B159" s="154" t="str">
        <f>'22E1'!P40</f>
        <v/>
      </c>
      <c r="C159" s="154">
        <v>1</v>
      </c>
      <c r="D159" s="476">
        <f>'22E1'!R40</f>
        <v>0</v>
      </c>
      <c r="E159" s="477"/>
      <c r="F159" s="477"/>
      <c r="G159" s="478"/>
      <c r="H159" s="154">
        <f>'22E1'!V40</f>
        <v>0</v>
      </c>
      <c r="I159" s="154" t="str">
        <f>'22E1'!W40</f>
        <v/>
      </c>
      <c r="J159" s="154">
        <f>'22E1'!X40</f>
        <v>0</v>
      </c>
    </row>
    <row r="160" spans="2:14" x14ac:dyDescent="0.3">
      <c r="B160" s="154" t="str">
        <f>'22E1'!P41</f>
        <v/>
      </c>
      <c r="C160" s="154">
        <v>2</v>
      </c>
      <c r="D160" s="476">
        <f>'22E1'!R41</f>
        <v>0</v>
      </c>
      <c r="E160" s="477"/>
      <c r="F160" s="477"/>
      <c r="G160" s="478"/>
      <c r="H160" s="154">
        <f>'22E1'!V41</f>
        <v>0</v>
      </c>
      <c r="I160" s="154" t="str">
        <f>'22E1'!W41</f>
        <v/>
      </c>
      <c r="J160" s="154">
        <f>'22E1'!X41</f>
        <v>0</v>
      </c>
    </row>
    <row r="161" spans="2:10" x14ac:dyDescent="0.3">
      <c r="B161" s="154" t="str">
        <f>'22E1'!P42</f>
        <v/>
      </c>
      <c r="C161" s="154">
        <v>3</v>
      </c>
      <c r="D161" s="476">
        <f>'22E1'!R42</f>
        <v>0</v>
      </c>
      <c r="E161" s="477"/>
      <c r="F161" s="477"/>
      <c r="G161" s="478"/>
      <c r="H161" s="154">
        <f>'22E1'!V42</f>
        <v>0</v>
      </c>
      <c r="I161" s="154" t="str">
        <f>'22E1'!W42</f>
        <v/>
      </c>
      <c r="J161" s="154">
        <f>'22E1'!X42</f>
        <v>0</v>
      </c>
    </row>
    <row r="162" spans="2:10" x14ac:dyDescent="0.3">
      <c r="B162" s="154" t="str">
        <f>'22E1'!P43</f>
        <v/>
      </c>
      <c r="C162" s="154">
        <v>4</v>
      </c>
      <c r="D162" s="476">
        <f>'22E1'!R43</f>
        <v>0</v>
      </c>
      <c r="E162" s="477"/>
      <c r="F162" s="477"/>
      <c r="G162" s="478"/>
      <c r="H162" s="154">
        <f>'22E1'!V43</f>
        <v>0</v>
      </c>
      <c r="I162" s="154" t="str">
        <f>'22E1'!W43</f>
        <v/>
      </c>
      <c r="J162" s="154">
        <f>'22E1'!X43</f>
        <v>0</v>
      </c>
    </row>
    <row r="163" spans="2:10" x14ac:dyDescent="0.3">
      <c r="B163" s="154" t="str">
        <f>'22E1'!P44</f>
        <v/>
      </c>
      <c r="C163" s="154">
        <v>5</v>
      </c>
      <c r="D163" s="476">
        <f>'22E1'!R44</f>
        <v>0</v>
      </c>
      <c r="E163" s="477"/>
      <c r="F163" s="477"/>
      <c r="G163" s="478"/>
      <c r="H163" s="154">
        <f>'22E1'!V44</f>
        <v>0</v>
      </c>
      <c r="I163" s="154" t="str">
        <f>'22E1'!W44</f>
        <v/>
      </c>
      <c r="J163" s="154">
        <f>'22E1'!X44</f>
        <v>0</v>
      </c>
    </row>
    <row r="164" spans="2:10" x14ac:dyDescent="0.3">
      <c r="B164" s="154" t="str">
        <f>'22E1'!P45</f>
        <v/>
      </c>
      <c r="C164" s="154">
        <v>6</v>
      </c>
      <c r="D164" s="476">
        <f>'22E1'!R45</f>
        <v>0</v>
      </c>
      <c r="E164" s="477"/>
      <c r="F164" s="477"/>
      <c r="G164" s="478"/>
      <c r="H164" s="154">
        <f>'22E1'!V45</f>
        <v>0</v>
      </c>
      <c r="I164" s="154" t="str">
        <f>'22E1'!W45</f>
        <v/>
      </c>
      <c r="J164" s="154">
        <f>'22E1'!X45</f>
        <v>0</v>
      </c>
    </row>
    <row r="165" spans="2:10" x14ac:dyDescent="0.3">
      <c r="B165" s="154" t="str">
        <f>'22E1'!P46</f>
        <v/>
      </c>
      <c r="C165" s="154">
        <v>7</v>
      </c>
      <c r="D165" s="476">
        <f>'22E1'!R46</f>
        <v>0</v>
      </c>
      <c r="E165" s="477"/>
      <c r="F165" s="477"/>
      <c r="G165" s="478"/>
      <c r="H165" s="154">
        <f>'22E1'!V46</f>
        <v>0</v>
      </c>
      <c r="I165" s="154" t="str">
        <f>'22E1'!W46</f>
        <v/>
      </c>
      <c r="J165" s="154">
        <f>'22E1'!X46</f>
        <v>0</v>
      </c>
    </row>
    <row r="166" spans="2:10" x14ac:dyDescent="0.3">
      <c r="B166" s="154" t="str">
        <f>'22E1'!P47</f>
        <v/>
      </c>
      <c r="C166" s="154">
        <v>8</v>
      </c>
      <c r="D166" s="476">
        <f>'22E1'!R47</f>
        <v>0</v>
      </c>
      <c r="E166" s="477"/>
      <c r="F166" s="477"/>
      <c r="G166" s="478"/>
      <c r="H166" s="154">
        <f>'22E1'!V47</f>
        <v>0</v>
      </c>
      <c r="I166" s="154" t="str">
        <f>'22E1'!W47</f>
        <v/>
      </c>
      <c r="J166" s="154">
        <f>'22E1'!X47</f>
        <v>0</v>
      </c>
    </row>
    <row r="167" spans="2:10" x14ac:dyDescent="0.3">
      <c r="B167" s="1"/>
      <c r="H167" s="154">
        <f>'22E1'!V48</f>
        <v>0</v>
      </c>
      <c r="I167" s="154" t="str">
        <f>'22E1'!W48</f>
        <v/>
      </c>
    </row>
    <row r="168" spans="2:10" x14ac:dyDescent="0.3">
      <c r="B168" s="1"/>
    </row>
    <row r="169" spans="2:10" ht="47.25" customHeight="1" x14ac:dyDescent="0.3">
      <c r="B169" s="1"/>
      <c r="E169" s="167" t="s">
        <v>52</v>
      </c>
      <c r="F169" s="482" t="s">
        <v>209</v>
      </c>
      <c r="G169" s="483"/>
    </row>
    <row r="170" spans="2:10" x14ac:dyDescent="0.3">
      <c r="B170" s="1"/>
      <c r="E170" s="154" t="str">
        <f>'22E1'!S51</f>
        <v/>
      </c>
      <c r="F170" s="484">
        <f>'22E1'!T51</f>
        <v>0</v>
      </c>
      <c r="G170" s="485"/>
    </row>
    <row r="171" spans="2:10" x14ac:dyDescent="0.3">
      <c r="B171" s="1"/>
    </row>
    <row r="172" spans="2:10" ht="20.399999999999999" x14ac:dyDescent="0.35">
      <c r="B172" s="451" t="s">
        <v>215</v>
      </c>
      <c r="C172" s="451"/>
      <c r="D172" s="451"/>
      <c r="E172" s="451"/>
      <c r="F172" s="451"/>
      <c r="G172" s="451"/>
      <c r="H172" s="451"/>
      <c r="I172" s="451"/>
      <c r="J172" s="451"/>
    </row>
    <row r="173" spans="2:10" x14ac:dyDescent="0.3">
      <c r="B173" s="183"/>
      <c r="C173" s="183"/>
      <c r="D173" s="183"/>
      <c r="E173" s="183"/>
      <c r="F173" s="183"/>
    </row>
    <row r="174" spans="2:10" x14ac:dyDescent="0.3">
      <c r="B174" s="183"/>
      <c r="C174" s="462" t="s">
        <v>205</v>
      </c>
      <c r="D174" s="462"/>
      <c r="E174" s="462"/>
      <c r="F174" s="462"/>
      <c r="G174" s="462"/>
      <c r="H174" s="462"/>
      <c r="I174" s="462"/>
    </row>
    <row r="175" spans="2:10" x14ac:dyDescent="0.3">
      <c r="B175" s="183"/>
      <c r="C175" s="183"/>
      <c r="D175" s="183"/>
      <c r="E175" s="183"/>
      <c r="F175" s="183"/>
    </row>
    <row r="176" spans="2:10" x14ac:dyDescent="0.3">
      <c r="B176" s="1"/>
      <c r="D176" s="22" t="s">
        <v>43</v>
      </c>
      <c r="E176" s="288">
        <f>'22E1'!S58</f>
        <v>0</v>
      </c>
      <c r="G176" s="479" t="s">
        <v>213</v>
      </c>
      <c r="H176" s="479"/>
      <c r="I176" s="480" t="s">
        <v>214</v>
      </c>
      <c r="J176" s="480"/>
    </row>
    <row r="177" spans="2:14" x14ac:dyDescent="0.3">
      <c r="B177" s="180"/>
      <c r="D177" s="22" t="s">
        <v>211</v>
      </c>
      <c r="E177" s="288" t="str">
        <f>'22E1'!S59</f>
        <v/>
      </c>
      <c r="G177" s="479"/>
      <c r="H177" s="479"/>
      <c r="I177" s="480"/>
      <c r="J177" s="480"/>
    </row>
    <row r="178" spans="2:14" x14ac:dyDescent="0.3">
      <c r="B178" s="183"/>
      <c r="D178" s="168" t="s">
        <v>212</v>
      </c>
      <c r="E178" s="288">
        <f>'22E1'!S60</f>
        <v>0</v>
      </c>
      <c r="G178" s="481">
        <f>'22E1'!U60</f>
        <v>0</v>
      </c>
      <c r="H178" s="478"/>
      <c r="I178" s="481">
        <f>'22E1'!W60</f>
        <v>0</v>
      </c>
      <c r="J178" s="478"/>
    </row>
    <row r="179" spans="2:14" x14ac:dyDescent="0.3">
      <c r="B179" s="183"/>
      <c r="D179" s="168" t="s">
        <v>203</v>
      </c>
      <c r="E179" s="288">
        <f>'22E1'!S61</f>
        <v>0</v>
      </c>
      <c r="G179" s="38"/>
      <c r="H179" s="38"/>
      <c r="I179" s="38"/>
      <c r="J179" s="2"/>
    </row>
    <row r="180" spans="2:14" x14ac:dyDescent="0.3">
      <c r="B180" s="9"/>
      <c r="C180" s="9"/>
      <c r="D180" s="9"/>
      <c r="E180" s="9"/>
      <c r="F180" s="9"/>
      <c r="G180" s="9"/>
      <c r="H180" s="9"/>
      <c r="I180" s="9"/>
      <c r="J180" s="9"/>
    </row>
    <row r="181" spans="2:14" x14ac:dyDescent="0.3">
      <c r="B181" s="230" t="s">
        <v>52</v>
      </c>
      <c r="D181" s="7" t="s">
        <v>210</v>
      </c>
      <c r="E181" s="7"/>
      <c r="F181" s="7"/>
      <c r="G181" s="7"/>
      <c r="H181" s="7"/>
      <c r="I181" s="7"/>
      <c r="J181" s="7"/>
    </row>
    <row r="182" spans="2:14" x14ac:dyDescent="0.3">
      <c r="B182" s="154" t="str">
        <f>'22E1'!P64</f>
        <v/>
      </c>
      <c r="C182" s="154" t="str">
        <f>'22E1'!Q64</f>
        <v/>
      </c>
      <c r="D182" s="166" t="s">
        <v>200</v>
      </c>
      <c r="E182" s="232">
        <v>0.05</v>
      </c>
      <c r="F182" s="62">
        <v>9.9900000000000003E-2</v>
      </c>
      <c r="G182" s="57"/>
      <c r="H182" s="57"/>
      <c r="I182" s="57"/>
      <c r="J182" s="57"/>
    </row>
    <row r="183" spans="2:14" x14ac:dyDescent="0.3">
      <c r="B183" s="154" t="str">
        <f>'22E1'!P65</f>
        <v/>
      </c>
      <c r="C183" s="154" t="str">
        <f>'22E1'!Q65</f>
        <v/>
      </c>
      <c r="D183" s="166" t="s">
        <v>200</v>
      </c>
      <c r="E183" s="232">
        <v>0.1</v>
      </c>
      <c r="F183" s="62">
        <v>0.19989999999999999</v>
      </c>
      <c r="G183" s="57"/>
      <c r="H183" s="57"/>
      <c r="I183" s="57"/>
      <c r="J183" s="57"/>
    </row>
    <row r="184" spans="2:14" x14ac:dyDescent="0.3">
      <c r="B184" s="154" t="str">
        <f>'22E1'!P66</f>
        <v/>
      </c>
      <c r="C184" s="154" t="str">
        <f>'22E1'!Q66</f>
        <v/>
      </c>
      <c r="D184" s="166" t="s">
        <v>216</v>
      </c>
      <c r="E184" s="232">
        <v>0.2</v>
      </c>
      <c r="F184" s="62"/>
      <c r="G184" s="57"/>
      <c r="H184" s="57"/>
      <c r="I184" s="57"/>
      <c r="J184" s="57"/>
    </row>
    <row r="185" spans="2:14" x14ac:dyDescent="0.3">
      <c r="B185" s="1"/>
    </row>
    <row r="186" spans="2:14" ht="16.2" thickBot="1" x14ac:dyDescent="0.35">
      <c r="B186" s="407" t="s">
        <v>545</v>
      </c>
      <c r="C186" s="407"/>
      <c r="D186" s="407"/>
      <c r="E186" s="407"/>
      <c r="F186" s="407"/>
      <c r="G186" s="407"/>
      <c r="H186" s="407"/>
      <c r="I186" s="407"/>
      <c r="J186" s="407"/>
      <c r="K186" s="407"/>
      <c r="L186" s="407"/>
      <c r="M186" s="407"/>
      <c r="N186" s="407"/>
    </row>
    <row r="187" spans="2:14" x14ac:dyDescent="0.3">
      <c r="B187" s="1"/>
    </row>
    <row r="188" spans="2:14" x14ac:dyDescent="0.3">
      <c r="B188" s="167" t="str">
        <f>'22E2'!Q17</f>
        <v/>
      </c>
      <c r="C188" s="167">
        <f>'22E2'!R17</f>
        <v>0</v>
      </c>
      <c r="D188" s="447" t="s">
        <v>181</v>
      </c>
      <c r="E188" s="448"/>
      <c r="F188" s="448"/>
      <c r="G188" s="448"/>
      <c r="H188" s="448"/>
      <c r="I188" s="448"/>
      <c r="J188" s="448"/>
      <c r="K188" s="449"/>
    </row>
    <row r="189" spans="2:14" ht="31.5" customHeight="1" x14ac:dyDescent="0.3">
      <c r="B189" s="167" t="str">
        <f>'22E2'!Q18</f>
        <v/>
      </c>
      <c r="C189" s="167">
        <f>'22E2'!R18</f>
        <v>0</v>
      </c>
      <c r="D189" s="447" t="s">
        <v>292</v>
      </c>
      <c r="E189" s="448"/>
      <c r="F189" s="448"/>
      <c r="G189" s="448"/>
      <c r="H189" s="448"/>
      <c r="I189" s="448"/>
      <c r="J189" s="448"/>
      <c r="K189" s="449"/>
    </row>
    <row r="190" spans="2:14" x14ac:dyDescent="0.3">
      <c r="B190" s="1"/>
    </row>
    <row r="191" spans="2:14" ht="16.5" customHeight="1" thickBot="1" x14ac:dyDescent="0.35">
      <c r="B191" s="407" t="s">
        <v>546</v>
      </c>
      <c r="C191" s="407"/>
      <c r="D191" s="407"/>
      <c r="E191" s="407"/>
      <c r="F191" s="407"/>
      <c r="G191" s="407"/>
      <c r="H191" s="407"/>
      <c r="I191" s="407"/>
      <c r="J191" s="407"/>
      <c r="K191" s="407"/>
      <c r="L191" s="407"/>
      <c r="M191" s="407"/>
      <c r="N191" s="407"/>
    </row>
    <row r="192" spans="2:14" x14ac:dyDescent="0.3">
      <c r="B192" s="86"/>
      <c r="C192" s="86"/>
      <c r="D192" s="86"/>
      <c r="E192" s="86"/>
      <c r="F192" s="86"/>
      <c r="G192" s="86"/>
      <c r="H192" s="86"/>
      <c r="I192" s="86"/>
      <c r="J192" s="86"/>
      <c r="K192" s="86"/>
    </row>
    <row r="193" spans="2:14" x14ac:dyDescent="0.3">
      <c r="B193" s="86"/>
      <c r="C193" s="86"/>
      <c r="E193" s="86"/>
      <c r="G193" s="168" t="s">
        <v>498</v>
      </c>
      <c r="H193" s="181">
        <f>'22E3'!W26</f>
        <v>0</v>
      </c>
      <c r="I193" s="86"/>
      <c r="J193" s="86"/>
      <c r="K193" s="86"/>
    </row>
    <row r="194" spans="2:14" x14ac:dyDescent="0.3">
      <c r="B194" s="86"/>
      <c r="C194" s="86"/>
      <c r="D194" s="86"/>
      <c r="E194" s="86"/>
      <c r="G194" s="86"/>
      <c r="H194" s="15"/>
      <c r="I194" s="86"/>
      <c r="J194" s="86"/>
      <c r="K194" s="86"/>
    </row>
    <row r="195" spans="2:14" x14ac:dyDescent="0.3">
      <c r="B195" s="465" t="s">
        <v>37</v>
      </c>
      <c r="C195" s="468" t="s">
        <v>38</v>
      </c>
      <c r="D195" s="468"/>
      <c r="E195" s="468"/>
      <c r="F195" s="468"/>
      <c r="G195" s="468"/>
      <c r="H195" s="16" t="s">
        <v>39</v>
      </c>
      <c r="I195" s="16" t="s">
        <v>40</v>
      </c>
      <c r="J195" s="86"/>
      <c r="K195" s="86"/>
    </row>
    <row r="196" spans="2:14" x14ac:dyDescent="0.3">
      <c r="B196" s="466"/>
      <c r="C196" s="461">
        <f>'22E3'!R29</f>
        <v>0</v>
      </c>
      <c r="D196" s="461"/>
      <c r="E196" s="461"/>
      <c r="F196" s="461"/>
      <c r="G196" s="461"/>
      <c r="H196" s="181">
        <f>'22E3'!W29</f>
        <v>0</v>
      </c>
      <c r="I196" s="17">
        <f>'22E3'!X29</f>
        <v>0</v>
      </c>
      <c r="J196" s="86"/>
      <c r="K196" s="86"/>
    </row>
    <row r="197" spans="2:14" x14ac:dyDescent="0.3">
      <c r="B197" s="466"/>
      <c r="C197" s="461">
        <f>'22E3'!R30</f>
        <v>0</v>
      </c>
      <c r="D197" s="461"/>
      <c r="E197" s="461"/>
      <c r="F197" s="461"/>
      <c r="G197" s="461"/>
      <c r="H197" s="181">
        <f>'22E3'!W30</f>
        <v>0</v>
      </c>
      <c r="I197" s="17">
        <f>'22E3'!X30</f>
        <v>0</v>
      </c>
      <c r="J197" s="86"/>
      <c r="K197" s="86"/>
    </row>
    <row r="198" spans="2:14" x14ac:dyDescent="0.3">
      <c r="B198" s="466"/>
      <c r="C198" s="461">
        <f>'22E3'!R31</f>
        <v>0</v>
      </c>
      <c r="D198" s="461"/>
      <c r="E198" s="461"/>
      <c r="F198" s="461"/>
      <c r="G198" s="461"/>
      <c r="H198" s="181">
        <f>'22E3'!W31</f>
        <v>0</v>
      </c>
      <c r="I198" s="17">
        <f>'22E3'!X31</f>
        <v>0</v>
      </c>
      <c r="J198" s="86"/>
      <c r="K198" s="86"/>
    </row>
    <row r="199" spans="2:14" x14ac:dyDescent="0.3">
      <c r="B199" s="466"/>
      <c r="C199" s="461">
        <f>'22E3'!R32</f>
        <v>0</v>
      </c>
      <c r="D199" s="461"/>
      <c r="E199" s="461"/>
      <c r="F199" s="461"/>
      <c r="G199" s="461"/>
      <c r="H199" s="181">
        <f>'22E3'!W32</f>
        <v>0</v>
      </c>
      <c r="I199" s="17">
        <f>'22E3'!X32</f>
        <v>0</v>
      </c>
      <c r="J199" s="86"/>
      <c r="K199" s="86"/>
    </row>
    <row r="200" spans="2:14" x14ac:dyDescent="0.3">
      <c r="B200" s="466"/>
      <c r="C200" s="461">
        <f>'22E3'!R33</f>
        <v>0</v>
      </c>
      <c r="D200" s="461"/>
      <c r="E200" s="461"/>
      <c r="F200" s="461"/>
      <c r="G200" s="461"/>
      <c r="H200" s="181">
        <f>'22E3'!W33</f>
        <v>0</v>
      </c>
      <c r="I200" s="17">
        <f>'22E3'!X33</f>
        <v>0</v>
      </c>
      <c r="J200" s="86"/>
      <c r="K200" s="86"/>
    </row>
    <row r="201" spans="2:14" x14ac:dyDescent="0.3">
      <c r="B201" s="466"/>
      <c r="C201" s="461">
        <f>'22E3'!R34</f>
        <v>0</v>
      </c>
      <c r="D201" s="461"/>
      <c r="E201" s="461"/>
      <c r="F201" s="461"/>
      <c r="G201" s="461"/>
      <c r="H201" s="181">
        <f>'22E3'!W34</f>
        <v>0</v>
      </c>
      <c r="I201" s="17">
        <f>'22E3'!X34</f>
        <v>0</v>
      </c>
      <c r="J201" s="86"/>
      <c r="K201" s="86"/>
    </row>
    <row r="202" spans="2:14" x14ac:dyDescent="0.3">
      <c r="B202" s="466"/>
      <c r="C202" s="461">
        <f>'22E3'!R35</f>
        <v>0</v>
      </c>
      <c r="D202" s="461"/>
      <c r="E202" s="461"/>
      <c r="F202" s="461"/>
      <c r="G202" s="461"/>
      <c r="H202" s="181">
        <f>'22E3'!W35</f>
        <v>0</v>
      </c>
      <c r="I202" s="17">
        <f>'22E3'!X35</f>
        <v>0</v>
      </c>
      <c r="J202" s="86"/>
      <c r="K202" s="86"/>
    </row>
    <row r="203" spans="2:14" x14ac:dyDescent="0.3">
      <c r="B203" s="466"/>
      <c r="C203" s="461">
        <f>'22E3'!R36</f>
        <v>0</v>
      </c>
      <c r="D203" s="461"/>
      <c r="E203" s="461"/>
      <c r="F203" s="461"/>
      <c r="G203" s="461"/>
      <c r="H203" s="181">
        <f>'22E3'!W36</f>
        <v>0</v>
      </c>
      <c r="I203" s="17">
        <f>'22E3'!X36</f>
        <v>0</v>
      </c>
      <c r="J203" s="86"/>
      <c r="K203" s="86"/>
    </row>
    <row r="204" spans="2:14" x14ac:dyDescent="0.3">
      <c r="B204" s="466"/>
      <c r="C204" s="461">
        <f>'22E3'!R37</f>
        <v>0</v>
      </c>
      <c r="D204" s="461"/>
      <c r="E204" s="461"/>
      <c r="F204" s="461"/>
      <c r="G204" s="461"/>
      <c r="H204" s="181">
        <f>'22E3'!W37</f>
        <v>0</v>
      </c>
      <c r="I204" s="17">
        <f>'22E3'!X37</f>
        <v>0</v>
      </c>
      <c r="J204" s="86"/>
      <c r="K204" s="86"/>
    </row>
    <row r="205" spans="2:14" x14ac:dyDescent="0.3">
      <c r="B205" s="466"/>
      <c r="C205" s="461">
        <f>'22E3'!R38</f>
        <v>0</v>
      </c>
      <c r="D205" s="461"/>
      <c r="E205" s="461"/>
      <c r="F205" s="461"/>
      <c r="G205" s="461"/>
      <c r="H205" s="181">
        <f>'22E3'!W38</f>
        <v>0</v>
      </c>
      <c r="I205" s="17">
        <f>'22E3'!X38</f>
        <v>0</v>
      </c>
      <c r="J205" s="86"/>
      <c r="K205" s="86"/>
    </row>
    <row r="206" spans="2:14" x14ac:dyDescent="0.3">
      <c r="B206" s="467"/>
      <c r="C206" s="464" t="s">
        <v>41</v>
      </c>
      <c r="D206" s="464"/>
      <c r="E206" s="464"/>
      <c r="F206" s="464"/>
      <c r="G206" s="464"/>
      <c r="H206" s="181">
        <f>'22E3'!W39</f>
        <v>0</v>
      </c>
      <c r="I206" s="17">
        <f>'22E3'!X39</f>
        <v>0</v>
      </c>
    </row>
    <row r="207" spans="2:14" x14ac:dyDescent="0.3">
      <c r="B207" s="1"/>
    </row>
    <row r="208" spans="2:14" x14ac:dyDescent="0.3">
      <c r="B208" s="462" t="s">
        <v>42</v>
      </c>
      <c r="C208" s="462"/>
      <c r="D208" s="462"/>
      <c r="E208" s="462"/>
      <c r="F208" s="462"/>
      <c r="G208" s="462"/>
      <c r="H208" s="462"/>
      <c r="I208" s="462"/>
      <c r="J208" s="462"/>
      <c r="K208" s="462"/>
      <c r="L208" s="462"/>
      <c r="M208" s="462"/>
      <c r="N208" s="462"/>
    </row>
    <row r="209" spans="2:14" x14ac:dyDescent="0.3">
      <c r="B209" s="230"/>
      <c r="C209" s="230"/>
      <c r="D209" s="230"/>
      <c r="E209" s="230"/>
      <c r="F209" s="230"/>
      <c r="G209" s="230"/>
      <c r="H209" s="230"/>
      <c r="I209" s="230"/>
      <c r="J209" s="230"/>
      <c r="K209" s="230"/>
    </row>
    <row r="210" spans="2:14" x14ac:dyDescent="0.3">
      <c r="B210" s="288" t="str">
        <f>'22E3'!Q43</f>
        <v/>
      </c>
      <c r="C210" s="358" t="str">
        <f>'22E3'!R43</f>
        <v/>
      </c>
      <c r="D210" s="61">
        <v>0.05</v>
      </c>
      <c r="E210" s="59">
        <v>9.9900000000000003E-2</v>
      </c>
      <c r="F210" s="57"/>
      <c r="G210" s="57"/>
      <c r="H210" s="57"/>
      <c r="I210" s="57"/>
      <c r="J210" s="57"/>
      <c r="K210" s="58"/>
    </row>
    <row r="211" spans="2:14" x14ac:dyDescent="0.3">
      <c r="B211" s="288" t="str">
        <f>'22E3'!Q44</f>
        <v/>
      </c>
      <c r="C211" s="358" t="str">
        <f>'22E3'!R44</f>
        <v/>
      </c>
      <c r="D211" s="61">
        <v>0.1</v>
      </c>
      <c r="E211" s="59">
        <v>0.19989999999999999</v>
      </c>
      <c r="F211" s="57"/>
      <c r="G211" s="57"/>
      <c r="H211" s="57"/>
      <c r="I211" s="57"/>
      <c r="J211" s="57"/>
      <c r="K211" s="58"/>
    </row>
    <row r="212" spans="2:14" x14ac:dyDescent="0.3">
      <c r="B212" s="288" t="str">
        <f>'22E3'!Q45</f>
        <v/>
      </c>
      <c r="C212" s="358" t="str">
        <f>'22E3'!R45</f>
        <v/>
      </c>
      <c r="D212" s="61">
        <v>0.2</v>
      </c>
      <c r="E212" s="59">
        <v>0.2999</v>
      </c>
      <c r="F212" s="57"/>
      <c r="G212" s="57"/>
      <c r="H212" s="57"/>
      <c r="I212" s="57"/>
      <c r="J212" s="57"/>
      <c r="K212" s="58"/>
    </row>
    <row r="213" spans="2:14" x14ac:dyDescent="0.3">
      <c r="B213" s="288" t="str">
        <f>'22E3'!Q46</f>
        <v/>
      </c>
      <c r="C213" s="358" t="str">
        <f>'22E3'!R46</f>
        <v/>
      </c>
      <c r="D213" s="61">
        <v>0.3</v>
      </c>
      <c r="E213" s="59">
        <v>0.39989999999999998</v>
      </c>
      <c r="F213" s="57"/>
      <c r="G213" s="57"/>
      <c r="H213" s="57"/>
      <c r="I213" s="57"/>
      <c r="J213" s="57"/>
      <c r="K213" s="58"/>
    </row>
    <row r="214" spans="2:14" x14ac:dyDescent="0.3">
      <c r="B214" s="288" t="str">
        <f>'22E3'!Q47</f>
        <v/>
      </c>
      <c r="C214" s="358" t="str">
        <f>'22E3'!R47</f>
        <v/>
      </c>
      <c r="D214" s="61">
        <v>0.4</v>
      </c>
      <c r="E214" s="60">
        <v>1</v>
      </c>
      <c r="F214" s="57"/>
      <c r="G214" s="57"/>
      <c r="H214" s="57"/>
      <c r="I214" s="57"/>
      <c r="J214" s="57"/>
      <c r="K214" s="58"/>
    </row>
    <row r="215" spans="2:14" x14ac:dyDescent="0.3">
      <c r="B215" s="1"/>
      <c r="D215" s="8"/>
    </row>
    <row r="216" spans="2:14" ht="16.5" customHeight="1" thickBot="1" x14ac:dyDescent="0.35">
      <c r="B216" s="407" t="s">
        <v>547</v>
      </c>
      <c r="C216" s="407"/>
      <c r="D216" s="407"/>
      <c r="E216" s="407"/>
      <c r="F216" s="407"/>
      <c r="G216" s="407"/>
      <c r="H216" s="407"/>
      <c r="I216" s="407"/>
      <c r="J216" s="407"/>
      <c r="K216" s="407"/>
      <c r="L216" s="407"/>
      <c r="M216" s="407"/>
      <c r="N216" s="407"/>
    </row>
    <row r="217" spans="2:14" x14ac:dyDescent="0.3">
      <c r="B217" s="183"/>
      <c r="C217" s="183"/>
      <c r="D217" s="183"/>
      <c r="E217" s="183"/>
      <c r="F217" s="183"/>
      <c r="G217" s="183"/>
      <c r="H217" s="183"/>
      <c r="I217" s="183"/>
      <c r="J217" s="183"/>
      <c r="K217" s="183"/>
    </row>
    <row r="218" spans="2:14" ht="15.75" customHeight="1" x14ac:dyDescent="0.3">
      <c r="B218" s="1"/>
      <c r="C218" s="183"/>
      <c r="E218" s="22" t="s">
        <v>43</v>
      </c>
      <c r="F218" s="161">
        <f>'22F1'!V37</f>
        <v>0</v>
      </c>
      <c r="G218" s="160"/>
      <c r="H218" s="38"/>
      <c r="I218" s="38"/>
      <c r="J218" s="38"/>
      <c r="K218" s="38"/>
    </row>
    <row r="219" spans="2:14" x14ac:dyDescent="0.3">
      <c r="B219" s="183"/>
      <c r="C219" s="183"/>
      <c r="D219" s="159"/>
      <c r="E219" s="168" t="s">
        <v>201</v>
      </c>
      <c r="F219" s="161">
        <f>'22F1'!V38</f>
        <v>0</v>
      </c>
      <c r="G219" s="38"/>
      <c r="H219" s="38"/>
      <c r="I219" s="38"/>
      <c r="J219" s="38"/>
      <c r="K219" s="38"/>
    </row>
    <row r="220" spans="2:14" x14ac:dyDescent="0.3">
      <c r="B220" s="183"/>
      <c r="C220" s="183"/>
      <c r="D220" s="159"/>
      <c r="E220" s="168" t="s">
        <v>202</v>
      </c>
      <c r="F220" s="161">
        <f>'22F1'!V39</f>
        <v>0</v>
      </c>
      <c r="G220" s="38"/>
      <c r="H220" s="38"/>
      <c r="I220" s="38"/>
      <c r="J220" s="2"/>
      <c r="K220" s="2"/>
    </row>
    <row r="221" spans="2:14" x14ac:dyDescent="0.3">
      <c r="B221" s="183"/>
      <c r="C221" s="183"/>
      <c r="D221" s="159"/>
      <c r="E221" s="168" t="s">
        <v>431</v>
      </c>
      <c r="F221" s="161">
        <f>'22F1'!V40</f>
        <v>0</v>
      </c>
      <c r="G221" s="38"/>
      <c r="H221" s="38"/>
      <c r="I221" s="38"/>
      <c r="J221" s="2"/>
      <c r="K221" s="2"/>
    </row>
    <row r="222" spans="2:14" x14ac:dyDescent="0.3">
      <c r="B222" s="86"/>
      <c r="C222" s="86"/>
      <c r="D222" s="56"/>
      <c r="G222" s="38"/>
      <c r="H222" s="38"/>
      <c r="I222" s="38"/>
      <c r="J222" s="2"/>
      <c r="K222" s="2"/>
    </row>
    <row r="223" spans="2:14" ht="15.75" customHeight="1" x14ac:dyDescent="0.3">
      <c r="B223" s="463" t="s">
        <v>503</v>
      </c>
      <c r="C223" s="463"/>
      <c r="D223" s="463"/>
      <c r="E223" s="463"/>
      <c r="F223" s="463"/>
      <c r="G223" s="463"/>
      <c r="H223" s="463"/>
      <c r="I223" s="463"/>
      <c r="J223" s="463"/>
      <c r="K223" s="463"/>
    </row>
    <row r="224" spans="2:14" x14ac:dyDescent="0.3">
      <c r="B224" s="410"/>
      <c r="C224" s="410"/>
      <c r="D224" s="410"/>
      <c r="E224" s="410"/>
      <c r="F224" s="410"/>
      <c r="G224" s="410"/>
      <c r="H224" s="410"/>
      <c r="I224" s="410"/>
      <c r="J224" s="410"/>
      <c r="K224" s="410"/>
    </row>
    <row r="225" spans="2:14" x14ac:dyDescent="0.3">
      <c r="B225" s="230"/>
      <c r="D225" s="271" t="s">
        <v>433</v>
      </c>
      <c r="E225" s="271"/>
      <c r="F225" s="271"/>
      <c r="G225" s="271"/>
      <c r="H225" s="271"/>
      <c r="I225" s="271"/>
      <c r="J225" s="271"/>
      <c r="K225" s="271"/>
    </row>
    <row r="226" spans="2:14" x14ac:dyDescent="0.3">
      <c r="B226" s="167" t="str">
        <f>'22F1'!R45</f>
        <v/>
      </c>
      <c r="C226" s="167" t="str">
        <f>'22F1'!S45</f>
        <v/>
      </c>
      <c r="D226" s="166" t="s">
        <v>200</v>
      </c>
      <c r="E226" s="232">
        <v>0.12</v>
      </c>
      <c r="F226" s="62">
        <v>0.14990000000000001</v>
      </c>
      <c r="G226" s="57"/>
      <c r="H226" s="57"/>
      <c r="I226" s="57"/>
      <c r="J226" s="57"/>
      <c r="K226" s="58"/>
    </row>
    <row r="227" spans="2:14" x14ac:dyDescent="0.3">
      <c r="B227" s="167" t="str">
        <f>'22F1'!R46</f>
        <v/>
      </c>
      <c r="C227" s="167" t="str">
        <f>'22F1'!S46</f>
        <v/>
      </c>
      <c r="D227" s="166" t="s">
        <v>200</v>
      </c>
      <c r="E227" s="232">
        <v>0.15</v>
      </c>
      <c r="F227" s="62">
        <v>0.2</v>
      </c>
      <c r="G227" s="57"/>
      <c r="H227" s="57"/>
      <c r="I227" s="57"/>
      <c r="J227" s="57"/>
      <c r="K227" s="58"/>
    </row>
    <row r="228" spans="2:14" x14ac:dyDescent="0.3">
      <c r="C228" s="175"/>
      <c r="D228" s="289"/>
      <c r="E228" s="289"/>
      <c r="F228" s="290"/>
      <c r="G228" s="174"/>
      <c r="H228" s="174"/>
      <c r="I228" s="174"/>
      <c r="J228" s="174"/>
      <c r="K228" s="174"/>
    </row>
    <row r="229" spans="2:14" ht="20.399999999999999" x14ac:dyDescent="0.35">
      <c r="B229" s="469" t="s">
        <v>215</v>
      </c>
      <c r="C229" s="470"/>
      <c r="D229" s="470"/>
      <c r="E229" s="470"/>
      <c r="F229" s="470"/>
      <c r="G229" s="470"/>
      <c r="H229" s="470"/>
      <c r="I229" s="470"/>
      <c r="J229" s="470"/>
      <c r="K229" s="470"/>
    </row>
    <row r="230" spans="2:14" x14ac:dyDescent="0.3">
      <c r="B230" s="8"/>
      <c r="C230" s="8"/>
      <c r="D230" s="8"/>
      <c r="E230" s="8"/>
      <c r="F230" s="8"/>
      <c r="G230" s="8"/>
      <c r="H230" s="8"/>
      <c r="I230" s="8"/>
      <c r="J230" s="8"/>
      <c r="K230" s="8"/>
    </row>
    <row r="231" spans="2:14" x14ac:dyDescent="0.3">
      <c r="B231" s="453" t="s">
        <v>504</v>
      </c>
      <c r="C231" s="453"/>
      <c r="D231" s="453"/>
      <c r="E231" s="453"/>
      <c r="F231" s="453"/>
      <c r="G231" s="453"/>
      <c r="H231" s="453"/>
      <c r="I231" s="453"/>
      <c r="J231" s="453"/>
      <c r="K231" s="453"/>
    </row>
    <row r="232" spans="2:14" x14ac:dyDescent="0.3">
      <c r="B232" s="1"/>
      <c r="E232" s="56"/>
    </row>
    <row r="233" spans="2:14" x14ac:dyDescent="0.3">
      <c r="B233" s="230"/>
      <c r="D233" s="271" t="s">
        <v>433</v>
      </c>
      <c r="E233" s="7"/>
      <c r="F233" s="7"/>
      <c r="G233" s="7"/>
      <c r="H233" s="7"/>
      <c r="I233" s="7"/>
      <c r="J233" s="7"/>
      <c r="K233" s="7"/>
    </row>
    <row r="234" spans="2:14" x14ac:dyDescent="0.3">
      <c r="B234" s="167" t="str">
        <f>'22F1'!R53</f>
        <v/>
      </c>
      <c r="C234" s="167" t="str">
        <f>'22F1'!S53</f>
        <v/>
      </c>
      <c r="D234" s="272" t="s">
        <v>432</v>
      </c>
      <c r="E234" s="232">
        <v>0.05</v>
      </c>
      <c r="F234" s="232">
        <v>0.1</v>
      </c>
      <c r="G234" s="471" t="s">
        <v>434</v>
      </c>
      <c r="H234" s="471"/>
      <c r="I234" s="471"/>
      <c r="J234" s="471"/>
      <c r="K234" s="472"/>
    </row>
    <row r="235" spans="2:14" x14ac:dyDescent="0.3">
      <c r="B235" s="167" t="str">
        <f>'22F1'!R54</f>
        <v/>
      </c>
      <c r="C235" s="167" t="str">
        <f>'22F1'!S54</f>
        <v/>
      </c>
      <c r="D235" s="272" t="s">
        <v>432</v>
      </c>
      <c r="E235" s="232">
        <v>0.12</v>
      </c>
      <c r="F235" s="232">
        <v>0.14990000000000001</v>
      </c>
      <c r="G235" s="273"/>
      <c r="H235" s="273"/>
      <c r="I235" s="273"/>
      <c r="J235" s="273"/>
      <c r="K235" s="274"/>
    </row>
    <row r="236" spans="2:14" x14ac:dyDescent="0.3">
      <c r="B236" s="167" t="str">
        <f>'22F1'!R55</f>
        <v/>
      </c>
      <c r="C236" s="167" t="str">
        <f>'22F1'!S55</f>
        <v/>
      </c>
      <c r="D236" s="272" t="s">
        <v>432</v>
      </c>
      <c r="E236" s="232">
        <v>0.15</v>
      </c>
      <c r="F236" s="232">
        <v>0.2</v>
      </c>
      <c r="G236" s="273"/>
      <c r="H236" s="273"/>
      <c r="I236" s="273"/>
      <c r="J236" s="273"/>
      <c r="K236" s="274"/>
    </row>
    <row r="237" spans="2:14" x14ac:dyDescent="0.3">
      <c r="C237" s="175"/>
      <c r="D237" s="289"/>
      <c r="E237" s="289"/>
      <c r="F237" s="290"/>
      <c r="G237" s="174"/>
      <c r="H237" s="174"/>
      <c r="I237" s="174"/>
      <c r="J237" s="174"/>
      <c r="K237" s="174"/>
    </row>
    <row r="238" spans="2:14" ht="16.5" customHeight="1" thickBot="1" x14ac:dyDescent="0.35">
      <c r="B238" s="407" t="s">
        <v>548</v>
      </c>
      <c r="C238" s="407"/>
      <c r="D238" s="407"/>
      <c r="E238" s="407"/>
      <c r="F238" s="407"/>
      <c r="G238" s="407"/>
      <c r="H238" s="407"/>
      <c r="I238" s="407"/>
      <c r="J238" s="407"/>
      <c r="K238" s="407"/>
      <c r="L238" s="407"/>
      <c r="M238" s="407"/>
      <c r="N238" s="407"/>
    </row>
    <row r="239" spans="2:14" x14ac:dyDescent="0.3">
      <c r="B239" s="1"/>
      <c r="D239" s="7"/>
      <c r="E239" s="7"/>
      <c r="F239" s="7"/>
      <c r="G239" s="7"/>
      <c r="H239" s="7"/>
      <c r="I239" s="7"/>
      <c r="J239" s="7"/>
      <c r="K239" s="7"/>
    </row>
    <row r="240" spans="2:14" ht="50.25" customHeight="1" x14ac:dyDescent="0.3">
      <c r="B240" s="167" t="str">
        <f>'22F2'!R21</f>
        <v/>
      </c>
      <c r="C240" s="167">
        <f>'22F2'!S21</f>
        <v>0</v>
      </c>
      <c r="D240" s="444" t="s">
        <v>295</v>
      </c>
      <c r="E240" s="444"/>
      <c r="F240" s="444"/>
      <c r="G240" s="444"/>
      <c r="H240" s="444"/>
      <c r="I240" s="444"/>
      <c r="J240" s="444"/>
      <c r="K240" s="444"/>
    </row>
    <row r="241" spans="2:14" x14ac:dyDescent="0.3">
      <c r="B241" s="1"/>
      <c r="D241" s="8"/>
    </row>
    <row r="242" spans="2:14" ht="16.2" thickBot="1" x14ac:dyDescent="0.35">
      <c r="B242" s="407" t="s">
        <v>219</v>
      </c>
      <c r="C242" s="407"/>
      <c r="D242" s="407"/>
      <c r="E242" s="407"/>
      <c r="F242" s="407"/>
      <c r="G242" s="407"/>
      <c r="H242" s="407"/>
      <c r="I242" s="407"/>
      <c r="J242" s="407"/>
      <c r="K242" s="407"/>
      <c r="L242" s="407"/>
      <c r="M242" s="407"/>
      <c r="N242" s="407"/>
    </row>
    <row r="243" spans="2:14" x14ac:dyDescent="0.3">
      <c r="B243" s="1"/>
      <c r="D243" s="7"/>
      <c r="E243" s="7"/>
      <c r="F243" s="7"/>
      <c r="G243" s="7"/>
      <c r="H243" s="7"/>
      <c r="I243" s="7"/>
      <c r="J243" s="7"/>
      <c r="K243" s="7"/>
    </row>
    <row r="244" spans="2:14" x14ac:dyDescent="0.3">
      <c r="B244" s="167" t="str">
        <f>'22F3'!Q18</f>
        <v/>
      </c>
      <c r="C244" s="167">
        <f>'22F3'!R18</f>
        <v>0</v>
      </c>
      <c r="D244" s="444" t="s">
        <v>152</v>
      </c>
      <c r="E244" s="444"/>
      <c r="F244" s="444"/>
      <c r="G244" s="444"/>
      <c r="H244" s="444"/>
      <c r="I244" s="444"/>
      <c r="J244" s="444"/>
      <c r="K244" s="444"/>
    </row>
    <row r="245" spans="2:14" ht="15.75" customHeight="1" x14ac:dyDescent="0.3">
      <c r="B245" s="1"/>
      <c r="D245" s="8"/>
    </row>
  </sheetData>
  <sheetProtection selectLockedCells="1"/>
  <mergeCells count="129">
    <mergeCell ref="D32:L32"/>
    <mergeCell ref="D35:L35"/>
    <mergeCell ref="B74:N74"/>
    <mergeCell ref="B56:N56"/>
    <mergeCell ref="B48:N48"/>
    <mergeCell ref="B1:N1"/>
    <mergeCell ref="E4:I4"/>
    <mergeCell ref="E6:F6"/>
    <mergeCell ref="B10:N10"/>
    <mergeCell ref="B8:N8"/>
    <mergeCell ref="D13:L13"/>
    <mergeCell ref="B11:N11"/>
    <mergeCell ref="B37:N37"/>
    <mergeCell ref="B29:N29"/>
    <mergeCell ref="B19:N19"/>
    <mergeCell ref="B21:K21"/>
    <mergeCell ref="B25:K25"/>
    <mergeCell ref="B15:N15"/>
    <mergeCell ref="D17:L17"/>
    <mergeCell ref="D39:K39"/>
    <mergeCell ref="D43:K43"/>
    <mergeCell ref="D44:K44"/>
    <mergeCell ref="D45:K45"/>
    <mergeCell ref="D46:K46"/>
    <mergeCell ref="D40:K40"/>
    <mergeCell ref="D41:K41"/>
    <mergeCell ref="D42:K42"/>
    <mergeCell ref="F83:L83"/>
    <mergeCell ref="F86:L86"/>
    <mergeCell ref="E91:L91"/>
    <mergeCell ref="F92:L92"/>
    <mergeCell ref="B49:L49"/>
    <mergeCell ref="D58:K58"/>
    <mergeCell ref="D59:K60"/>
    <mergeCell ref="D61:K61"/>
    <mergeCell ref="D62:K63"/>
    <mergeCell ref="D50:K50"/>
    <mergeCell ref="D51:K51"/>
    <mergeCell ref="D52:K52"/>
    <mergeCell ref="D53:K53"/>
    <mergeCell ref="D54:K54"/>
    <mergeCell ref="C157:I157"/>
    <mergeCell ref="F170:G170"/>
    <mergeCell ref="B172:J172"/>
    <mergeCell ref="B133:K133"/>
    <mergeCell ref="D135:G135"/>
    <mergeCell ref="B109:C109"/>
    <mergeCell ref="D109:K109"/>
    <mergeCell ref="D110:K110"/>
    <mergeCell ref="D111:K111"/>
    <mergeCell ref="D112:K112"/>
    <mergeCell ref="E120:L120"/>
    <mergeCell ref="E121:L121"/>
    <mergeCell ref="E122:L122"/>
    <mergeCell ref="E123:L123"/>
    <mergeCell ref="E117:L117"/>
    <mergeCell ref="H135:K135"/>
    <mergeCell ref="B126:N126"/>
    <mergeCell ref="E118:L118"/>
    <mergeCell ref="E119:L119"/>
    <mergeCell ref="E124:L124"/>
    <mergeCell ref="B114:N114"/>
    <mergeCell ref="B145:B147"/>
    <mergeCell ref="D145:K145"/>
    <mergeCell ref="D146:K146"/>
    <mergeCell ref="C204:G204"/>
    <mergeCell ref="B229:K229"/>
    <mergeCell ref="B231:K231"/>
    <mergeCell ref="G234:K234"/>
    <mergeCell ref="B224:K224"/>
    <mergeCell ref="D128:K128"/>
    <mergeCell ref="D129:K129"/>
    <mergeCell ref="D160:G160"/>
    <mergeCell ref="D161:G161"/>
    <mergeCell ref="D162:G162"/>
    <mergeCell ref="G176:H177"/>
    <mergeCell ref="I176:J177"/>
    <mergeCell ref="G178:H178"/>
    <mergeCell ref="I178:J178"/>
    <mergeCell ref="D163:G163"/>
    <mergeCell ref="D164:G164"/>
    <mergeCell ref="D165:G165"/>
    <mergeCell ref="D166:G166"/>
    <mergeCell ref="D159:G159"/>
    <mergeCell ref="F169:G169"/>
    <mergeCell ref="B153:N153"/>
    <mergeCell ref="B149:N149"/>
    <mergeCell ref="B131:N131"/>
    <mergeCell ref="D151:K151"/>
    <mergeCell ref="C205:G205"/>
    <mergeCell ref="B191:N191"/>
    <mergeCell ref="B186:N186"/>
    <mergeCell ref="D188:K188"/>
    <mergeCell ref="D189:K189"/>
    <mergeCell ref="C174:I174"/>
    <mergeCell ref="D244:K244"/>
    <mergeCell ref="B242:N242"/>
    <mergeCell ref="B223:K223"/>
    <mergeCell ref="D240:K240"/>
    <mergeCell ref="B238:N238"/>
    <mergeCell ref="C206:G206"/>
    <mergeCell ref="B216:N216"/>
    <mergeCell ref="B208:N208"/>
    <mergeCell ref="B195:B206"/>
    <mergeCell ref="C195:G195"/>
    <mergeCell ref="C196:G196"/>
    <mergeCell ref="C197:G197"/>
    <mergeCell ref="C198:G198"/>
    <mergeCell ref="C199:G199"/>
    <mergeCell ref="C200:G200"/>
    <mergeCell ref="C201:G201"/>
    <mergeCell ref="C202:G202"/>
    <mergeCell ref="C203:G203"/>
    <mergeCell ref="B101:N101"/>
    <mergeCell ref="D64:K64"/>
    <mergeCell ref="F68:G68"/>
    <mergeCell ref="B80:N80"/>
    <mergeCell ref="B66:N66"/>
    <mergeCell ref="B107:N107"/>
    <mergeCell ref="D147:K147"/>
    <mergeCell ref="B137:K137"/>
    <mergeCell ref="B139:K139"/>
    <mergeCell ref="B140:K140"/>
    <mergeCell ref="D141:G141"/>
    <mergeCell ref="H141:K141"/>
    <mergeCell ref="B142:K142"/>
    <mergeCell ref="D143:G143"/>
    <mergeCell ref="H143:K143"/>
    <mergeCell ref="B144:K144"/>
  </mergeCells>
  <dataValidations count="3">
    <dataValidation type="whole" operator="greaterThanOrEqual" allowBlank="1" showInputMessage="1" showErrorMessage="1" sqref="I179 I220:I221 D219:D221 F218:F221" xr:uid="{1DD2EA14-E246-4D02-AEDB-407CD4F99441}">
      <formula1>0</formula1>
    </dataValidation>
    <dataValidation operator="greaterThanOrEqual" showInputMessage="1" showErrorMessage="1" sqref="H155:I155 E176:E179 F174 F157 B155 B159:B166 D159:D166 E170 I178 G178 H159:J167 B182:C184" xr:uid="{ECD67972-D1A0-43DB-B9E3-A36CE6CA9324}"/>
    <dataValidation operator="greaterThanOrEqual" allowBlank="1" showInputMessage="1" showErrorMessage="1" sqref="G219:I219" xr:uid="{C3DC8A45-6DC5-431A-BAC0-5C877E6E9653}"/>
  </dataValidations>
  <pageMargins left="0.7" right="0.7" top="0.75" bottom="0.75" header="0.3" footer="0.3"/>
  <pageSetup scale="44" fitToHeight="3" orientation="portrait" r:id="rId1"/>
  <headerFooter>
    <oddFooter>&amp;LVersion: 1/1/2014&amp;CTab: &amp;A&amp;RPrint Date: &amp;D</oddFooter>
  </headerFooter>
  <rowBreaks count="3" manualBreakCount="3">
    <brk id="100" min="1" max="13" man="1"/>
    <brk id="152" min="1" max="13" man="1"/>
    <brk id="185" min="1" max="13"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3"/>
  <dimension ref="B1:AB105"/>
  <sheetViews>
    <sheetView showGridLines="0" view="pageBreakPreview" zoomScaleNormal="100" zoomScaleSheetLayoutView="100" workbookViewId="0">
      <selection activeCell="D17" sqref="D17:M17"/>
    </sheetView>
  </sheetViews>
  <sheetFormatPr defaultColWidth="9.109375" defaultRowHeight="15.6" x14ac:dyDescent="0.3"/>
  <cols>
    <col min="1" max="1" width="3.5546875" style="1" customWidth="1"/>
    <col min="2" max="3" width="4.88671875" style="1" customWidth="1"/>
    <col min="4" max="13" width="12.44140625" style="1" customWidth="1"/>
    <col min="14" max="14" width="18.44140625" style="30" hidden="1" customWidth="1"/>
    <col min="15" max="15" width="3.5546875" style="1" customWidth="1"/>
    <col min="16" max="17" width="4.88671875" style="1" customWidth="1"/>
    <col min="18" max="27" width="12.44140625" style="1" customWidth="1"/>
    <col min="28" max="28" width="18.44140625" style="30" hidden="1" customWidth="1"/>
    <col min="29" max="16384" width="9.109375" style="1"/>
  </cols>
  <sheetData>
    <row r="1" spans="2:28" x14ac:dyDescent="0.3">
      <c r="O1" s="50"/>
    </row>
    <row r="2" spans="2:28" x14ac:dyDescent="0.3">
      <c r="B2" s="410" t="s">
        <v>68</v>
      </c>
      <c r="C2" s="410"/>
      <c r="D2" s="410"/>
      <c r="E2" s="410"/>
      <c r="F2" s="410"/>
      <c r="G2" s="410"/>
      <c r="H2" s="410"/>
      <c r="I2" s="410"/>
      <c r="J2" s="410"/>
      <c r="K2" s="410"/>
      <c r="L2" s="410"/>
      <c r="M2" s="410"/>
      <c r="N2" s="49"/>
      <c r="O2" s="50"/>
      <c r="P2" s="410" t="s">
        <v>68</v>
      </c>
      <c r="Q2" s="410"/>
      <c r="R2" s="410"/>
      <c r="S2" s="410"/>
      <c r="T2" s="410"/>
      <c r="U2" s="410"/>
      <c r="V2" s="410"/>
      <c r="W2" s="410"/>
      <c r="X2" s="410"/>
      <c r="Y2" s="410"/>
      <c r="Z2" s="410"/>
      <c r="AA2" s="410"/>
      <c r="AB2" s="49"/>
    </row>
    <row r="3" spans="2:28" ht="16.2" thickBot="1" x14ac:dyDescent="0.35">
      <c r="B3" s="411" t="s">
        <v>53</v>
      </c>
      <c r="C3" s="411"/>
      <c r="D3" s="411"/>
      <c r="E3" s="411"/>
      <c r="F3" s="411"/>
      <c r="G3" s="411"/>
      <c r="H3" s="411"/>
      <c r="I3" s="411"/>
      <c r="J3" s="411"/>
      <c r="K3" s="411"/>
      <c r="L3" s="411"/>
      <c r="M3" s="411"/>
      <c r="N3" s="49"/>
      <c r="O3" s="50"/>
      <c r="P3" s="411" t="s">
        <v>54</v>
      </c>
      <c r="Q3" s="411"/>
      <c r="R3" s="411"/>
      <c r="S3" s="411"/>
      <c r="T3" s="411"/>
      <c r="U3" s="411"/>
      <c r="V3" s="411"/>
      <c r="W3" s="411"/>
      <c r="X3" s="411"/>
      <c r="Y3" s="411"/>
      <c r="Z3" s="411"/>
      <c r="AA3" s="411"/>
      <c r="AB3" s="49"/>
    </row>
    <row r="4" spans="2:28" x14ac:dyDescent="0.3">
      <c r="B4" s="2"/>
      <c r="C4" s="2"/>
      <c r="D4" s="2"/>
      <c r="E4" s="2"/>
      <c r="F4" s="2"/>
      <c r="G4" s="2"/>
      <c r="H4" s="2"/>
      <c r="I4" s="2"/>
      <c r="K4" s="2"/>
      <c r="L4" s="2"/>
      <c r="M4" s="2"/>
      <c r="O4" s="50"/>
      <c r="P4" s="2"/>
      <c r="Q4" s="2"/>
      <c r="R4" s="2"/>
      <c r="S4" s="2"/>
      <c r="T4" s="2"/>
      <c r="U4" s="2"/>
      <c r="V4" s="2"/>
      <c r="W4" s="2"/>
      <c r="Y4" s="2"/>
      <c r="Z4" s="2"/>
      <c r="AA4" s="2"/>
    </row>
    <row r="5" spans="2:28" x14ac:dyDescent="0.3">
      <c r="D5" s="56" t="s">
        <v>0</v>
      </c>
      <c r="E5" s="21" t="str">
        <f>IF(Summary!E5="","",Summary!E5)</f>
        <v/>
      </c>
      <c r="F5" s="86"/>
      <c r="G5" s="86"/>
      <c r="H5" s="86"/>
      <c r="I5" s="86"/>
      <c r="K5" s="86"/>
      <c r="L5" s="86"/>
      <c r="N5" s="49" t="s">
        <v>70</v>
      </c>
      <c r="O5" s="50"/>
      <c r="R5" s="56" t="s">
        <v>0</v>
      </c>
      <c r="S5" s="21" t="str">
        <f>IF(Summary!S5="","",Summary!S5)</f>
        <v/>
      </c>
      <c r="T5" s="86"/>
      <c r="U5" s="86"/>
      <c r="V5" s="86"/>
      <c r="W5" s="86"/>
      <c r="Y5" s="86"/>
      <c r="Z5" s="86"/>
      <c r="AB5" s="49" t="s">
        <v>70</v>
      </c>
    </row>
    <row r="6" spans="2:28" x14ac:dyDescent="0.3">
      <c r="D6" s="56" t="s">
        <v>1</v>
      </c>
      <c r="E6" s="515" t="str">
        <f>IF(Summary!E6="","",Summary!E6)</f>
        <v/>
      </c>
      <c r="F6" s="516"/>
      <c r="G6" s="516"/>
      <c r="H6" s="516"/>
      <c r="I6" s="517"/>
      <c r="K6" s="86"/>
      <c r="L6" s="86"/>
      <c r="N6" s="185">
        <v>1000</v>
      </c>
      <c r="O6" s="50"/>
      <c r="R6" s="56" t="s">
        <v>1</v>
      </c>
      <c r="S6" s="515" t="str">
        <f>IF(Summary!S6="","",Summary!S6)</f>
        <v/>
      </c>
      <c r="T6" s="516"/>
      <c r="U6" s="516"/>
      <c r="V6" s="516"/>
      <c r="W6" s="517"/>
      <c r="Y6" s="86"/>
      <c r="Z6" s="86"/>
      <c r="AB6" s="185">
        <v>1000</v>
      </c>
    </row>
    <row r="7" spans="2:28" x14ac:dyDescent="0.3">
      <c r="D7" s="56"/>
      <c r="E7" s="182"/>
      <c r="F7" s="26"/>
      <c r="G7" s="86"/>
      <c r="H7" s="86"/>
      <c r="I7" s="86"/>
      <c r="K7" s="86"/>
      <c r="L7" s="86"/>
      <c r="O7" s="50"/>
      <c r="R7" s="56"/>
      <c r="S7" s="182"/>
      <c r="T7" s="26"/>
      <c r="U7" s="86"/>
      <c r="V7" s="86"/>
      <c r="W7" s="86"/>
      <c r="Y7" s="86"/>
      <c r="Z7" s="86"/>
    </row>
    <row r="8" spans="2:28" x14ac:dyDescent="0.3">
      <c r="D8" s="56" t="s">
        <v>48</v>
      </c>
      <c r="E8" s="526" t="str">
        <f>IF(Summary!E8="","",Summary!E8)</f>
        <v/>
      </c>
      <c r="F8" s="527"/>
      <c r="G8" s="86"/>
      <c r="H8" s="86"/>
      <c r="I8" s="86"/>
      <c r="K8" s="86"/>
      <c r="L8" s="86"/>
      <c r="O8" s="50"/>
      <c r="R8" s="56" t="s">
        <v>48</v>
      </c>
      <c r="S8" s="526" t="str">
        <f>IF(Summary!S8="","",Summary!S8)</f>
        <v/>
      </c>
      <c r="T8" s="527"/>
      <c r="U8" s="86"/>
      <c r="V8" s="86"/>
      <c r="W8" s="86"/>
      <c r="Y8" s="86"/>
      <c r="Z8" s="86"/>
    </row>
    <row r="9" spans="2:28" x14ac:dyDescent="0.3">
      <c r="H9" s="86"/>
      <c r="I9" s="86"/>
      <c r="K9" s="86"/>
      <c r="L9" s="86"/>
      <c r="M9" s="86"/>
      <c r="O9" s="50"/>
      <c r="V9" s="86"/>
      <c r="W9" s="86"/>
      <c r="Y9" s="86"/>
      <c r="Z9" s="86"/>
      <c r="AA9" s="86"/>
    </row>
    <row r="10" spans="2:28" ht="16.2" thickBot="1" x14ac:dyDescent="0.35">
      <c r="B10" s="3"/>
      <c r="C10" s="3"/>
      <c r="D10" s="3"/>
      <c r="E10" s="3"/>
      <c r="F10" s="3"/>
      <c r="G10" s="3"/>
      <c r="H10" s="3"/>
      <c r="I10" s="3"/>
      <c r="J10" s="3"/>
      <c r="K10" s="3"/>
      <c r="L10" s="3"/>
      <c r="M10" s="3"/>
      <c r="O10" s="50"/>
      <c r="P10" s="3"/>
      <c r="Q10" s="3"/>
      <c r="R10" s="3"/>
      <c r="S10" s="3"/>
      <c r="T10" s="3"/>
      <c r="U10" s="3"/>
      <c r="V10" s="3"/>
      <c r="W10" s="3"/>
      <c r="X10" s="3"/>
      <c r="Y10" s="3"/>
      <c r="Z10" s="3"/>
      <c r="AA10" s="3"/>
    </row>
    <row r="11" spans="2:28" x14ac:dyDescent="0.3">
      <c r="O11" s="50"/>
    </row>
    <row r="12" spans="2:28" ht="42" customHeight="1" x14ac:dyDescent="0.3">
      <c r="B12" s="408" t="s">
        <v>85</v>
      </c>
      <c r="C12" s="408"/>
      <c r="D12" s="408"/>
      <c r="E12" s="408"/>
      <c r="F12" s="408"/>
      <c r="G12" s="408"/>
      <c r="H12" s="408"/>
      <c r="I12" s="408"/>
      <c r="J12" s="408"/>
      <c r="K12" s="408"/>
      <c r="L12" s="408"/>
      <c r="M12" s="408"/>
      <c r="O12" s="50"/>
      <c r="P12" s="408" t="s">
        <v>85</v>
      </c>
      <c r="Q12" s="408"/>
      <c r="R12" s="408"/>
      <c r="S12" s="408"/>
      <c r="T12" s="408"/>
      <c r="U12" s="408"/>
      <c r="V12" s="408"/>
      <c r="W12" s="408"/>
      <c r="X12" s="408"/>
      <c r="Y12" s="408"/>
      <c r="Z12" s="408"/>
      <c r="AA12" s="408"/>
    </row>
    <row r="13" spans="2:28" ht="16.2" thickBot="1" x14ac:dyDescent="0.35">
      <c r="B13" s="3"/>
      <c r="C13" s="3"/>
      <c r="D13" s="3"/>
      <c r="E13" s="3"/>
      <c r="F13" s="3"/>
      <c r="G13" s="3"/>
      <c r="H13" s="3"/>
      <c r="I13" s="3"/>
      <c r="J13" s="3"/>
      <c r="K13" s="3"/>
      <c r="L13" s="3"/>
      <c r="M13" s="3"/>
      <c r="O13" s="50"/>
      <c r="P13" s="3"/>
      <c r="Q13" s="3"/>
      <c r="R13" s="3"/>
      <c r="S13" s="3"/>
      <c r="T13" s="3"/>
      <c r="U13" s="3"/>
      <c r="V13" s="3"/>
      <c r="W13" s="3"/>
      <c r="X13" s="3"/>
      <c r="Y13" s="3"/>
      <c r="Z13" s="3"/>
      <c r="AA13" s="3"/>
    </row>
    <row r="14" spans="2:28" x14ac:dyDescent="0.3">
      <c r="O14" s="50"/>
    </row>
    <row r="15" spans="2:28" x14ac:dyDescent="0.3">
      <c r="O15" s="50"/>
    </row>
    <row r="16" spans="2:28" ht="15.75" customHeight="1" x14ac:dyDescent="0.3">
      <c r="C16" s="9" t="s">
        <v>435</v>
      </c>
      <c r="O16" s="50"/>
      <c r="Q16" s="9" t="s">
        <v>435</v>
      </c>
    </row>
    <row r="17" spans="3:28" ht="91.5" customHeight="1" x14ac:dyDescent="0.3">
      <c r="D17" s="523"/>
      <c r="E17" s="524"/>
      <c r="F17" s="524"/>
      <c r="G17" s="524"/>
      <c r="H17" s="524"/>
      <c r="I17" s="524"/>
      <c r="J17" s="524"/>
      <c r="K17" s="524"/>
      <c r="L17" s="524"/>
      <c r="M17" s="525"/>
      <c r="O17" s="50"/>
      <c r="R17" s="528"/>
      <c r="S17" s="529"/>
      <c r="T17" s="529"/>
      <c r="U17" s="529"/>
      <c r="V17" s="529"/>
      <c r="W17" s="529"/>
      <c r="X17" s="529"/>
      <c r="Y17" s="529"/>
      <c r="Z17" s="529"/>
      <c r="AA17" s="530"/>
    </row>
    <row r="18" spans="3:28" s="67" customFormat="1" ht="15" customHeight="1" x14ac:dyDescent="0.3">
      <c r="D18" s="67" t="s">
        <v>69</v>
      </c>
      <c r="F18" s="67">
        <f>N$6-LEN(D17)</f>
        <v>1000</v>
      </c>
      <c r="N18" s="68"/>
      <c r="O18" s="69"/>
      <c r="R18" s="67" t="s">
        <v>69</v>
      </c>
      <c r="T18" s="67">
        <f>AB$6-LEN(R17)</f>
        <v>1000</v>
      </c>
      <c r="AB18" s="68"/>
    </row>
    <row r="19" spans="3:28" s="67" customFormat="1" ht="15" customHeight="1" x14ac:dyDescent="0.3">
      <c r="N19" s="68"/>
      <c r="O19" s="69"/>
      <c r="AB19" s="68"/>
    </row>
    <row r="20" spans="3:28" ht="15.75" customHeight="1" x14ac:dyDescent="0.3">
      <c r="C20" s="9" t="s">
        <v>444</v>
      </c>
      <c r="O20" s="50"/>
      <c r="Q20" s="9" t="s">
        <v>444</v>
      </c>
    </row>
    <row r="21" spans="3:28" ht="90.75" customHeight="1" x14ac:dyDescent="0.3">
      <c r="D21" s="523"/>
      <c r="E21" s="524"/>
      <c r="F21" s="524"/>
      <c r="G21" s="524"/>
      <c r="H21" s="524"/>
      <c r="I21" s="524"/>
      <c r="J21" s="524"/>
      <c r="K21" s="524"/>
      <c r="L21" s="524"/>
      <c r="M21" s="525"/>
      <c r="O21" s="50"/>
      <c r="R21" s="528"/>
      <c r="S21" s="529"/>
      <c r="T21" s="529"/>
      <c r="U21" s="529"/>
      <c r="V21" s="529"/>
      <c r="W21" s="529"/>
      <c r="X21" s="529"/>
      <c r="Y21" s="529"/>
      <c r="Z21" s="529"/>
      <c r="AA21" s="530"/>
    </row>
    <row r="22" spans="3:28" s="67" customFormat="1" ht="15" customHeight="1" x14ac:dyDescent="0.3">
      <c r="D22" s="67" t="s">
        <v>69</v>
      </c>
      <c r="F22" s="67">
        <f>N$6-LEN(D21)</f>
        <v>1000</v>
      </c>
      <c r="N22" s="68"/>
      <c r="O22" s="69"/>
      <c r="R22" s="67" t="s">
        <v>69</v>
      </c>
      <c r="T22" s="67">
        <f>AB$6-LEN(R21)</f>
        <v>1000</v>
      </c>
      <c r="AB22" s="68"/>
    </row>
    <row r="23" spans="3:28" x14ac:dyDescent="0.3">
      <c r="O23" s="50"/>
    </row>
    <row r="24" spans="3:28" ht="15.75" customHeight="1" x14ac:dyDescent="0.3">
      <c r="C24" s="9" t="s">
        <v>445</v>
      </c>
      <c r="O24" s="50"/>
      <c r="Q24" s="9" t="s">
        <v>445</v>
      </c>
    </row>
    <row r="25" spans="3:28" ht="90" customHeight="1" x14ac:dyDescent="0.3">
      <c r="D25" s="523"/>
      <c r="E25" s="524"/>
      <c r="F25" s="524"/>
      <c r="G25" s="524"/>
      <c r="H25" s="524"/>
      <c r="I25" s="524"/>
      <c r="J25" s="524"/>
      <c r="K25" s="524"/>
      <c r="L25" s="524"/>
      <c r="M25" s="525"/>
      <c r="O25" s="50"/>
      <c r="R25" s="528"/>
      <c r="S25" s="529"/>
      <c r="T25" s="529"/>
      <c r="U25" s="529"/>
      <c r="V25" s="529"/>
      <c r="W25" s="529"/>
      <c r="X25" s="529"/>
      <c r="Y25" s="529"/>
      <c r="Z25" s="529"/>
      <c r="AA25" s="530"/>
    </row>
    <row r="26" spans="3:28" s="67" customFormat="1" ht="15" customHeight="1" x14ac:dyDescent="0.3">
      <c r="D26" s="67" t="s">
        <v>69</v>
      </c>
      <c r="F26" s="67">
        <f>N$6-LEN(D25)</f>
        <v>1000</v>
      </c>
      <c r="N26" s="68"/>
      <c r="O26" s="69"/>
      <c r="R26" s="67" t="s">
        <v>69</v>
      </c>
      <c r="T26" s="67">
        <f>AB$6-LEN(R25)</f>
        <v>1000</v>
      </c>
      <c r="AB26" s="68"/>
    </row>
    <row r="27" spans="3:28" s="8" customFormat="1" ht="15" customHeight="1" x14ac:dyDescent="0.3">
      <c r="N27" s="31"/>
      <c r="O27" s="51"/>
      <c r="AB27" s="31"/>
    </row>
    <row r="28" spans="3:28" x14ac:dyDescent="0.3">
      <c r="O28" s="50"/>
    </row>
    <row r="29" spans="3:28" ht="15.75" customHeight="1" x14ac:dyDescent="0.3">
      <c r="C29" s="9" t="s">
        <v>446</v>
      </c>
      <c r="O29" s="50"/>
      <c r="Q29" s="9" t="s">
        <v>446</v>
      </c>
    </row>
    <row r="30" spans="3:28" ht="91.5" customHeight="1" x14ac:dyDescent="0.3">
      <c r="D30" s="523"/>
      <c r="E30" s="524"/>
      <c r="F30" s="524"/>
      <c r="G30" s="524"/>
      <c r="H30" s="524"/>
      <c r="I30" s="524"/>
      <c r="J30" s="524"/>
      <c r="K30" s="524"/>
      <c r="L30" s="524"/>
      <c r="M30" s="525"/>
      <c r="O30" s="50"/>
      <c r="R30" s="528"/>
      <c r="S30" s="529"/>
      <c r="T30" s="529"/>
      <c r="U30" s="529"/>
      <c r="V30" s="529"/>
      <c r="W30" s="529"/>
      <c r="X30" s="529"/>
      <c r="Y30" s="529"/>
      <c r="Z30" s="529"/>
      <c r="AA30" s="530"/>
    </row>
    <row r="31" spans="3:28" s="67" customFormat="1" ht="15" customHeight="1" x14ac:dyDescent="0.3">
      <c r="D31" s="67" t="s">
        <v>69</v>
      </c>
      <c r="F31" s="67">
        <f>N$6-LEN(D30)</f>
        <v>1000</v>
      </c>
      <c r="N31" s="68"/>
      <c r="O31" s="69"/>
      <c r="R31" s="67" t="s">
        <v>69</v>
      </c>
      <c r="T31" s="67">
        <f>AB$6-LEN(R30)</f>
        <v>1000</v>
      </c>
      <c r="AB31" s="68"/>
    </row>
    <row r="32" spans="3:28" s="8" customFormat="1" ht="15" customHeight="1" x14ac:dyDescent="0.3">
      <c r="N32" s="31"/>
      <c r="O32" s="51"/>
      <c r="AB32" s="31"/>
    </row>
    <row r="33" spans="3:28" ht="15.75" customHeight="1" x14ac:dyDescent="0.3">
      <c r="C33" s="9" t="s">
        <v>447</v>
      </c>
      <c r="O33" s="50"/>
      <c r="Q33" s="9" t="s">
        <v>447</v>
      </c>
    </row>
    <row r="34" spans="3:28" ht="90" customHeight="1" x14ac:dyDescent="0.3">
      <c r="D34" s="523"/>
      <c r="E34" s="524"/>
      <c r="F34" s="524"/>
      <c r="G34" s="524"/>
      <c r="H34" s="524"/>
      <c r="I34" s="524"/>
      <c r="J34" s="524"/>
      <c r="K34" s="524"/>
      <c r="L34" s="524"/>
      <c r="M34" s="525"/>
      <c r="O34" s="50"/>
      <c r="R34" s="528"/>
      <c r="S34" s="529"/>
      <c r="T34" s="529"/>
      <c r="U34" s="529"/>
      <c r="V34" s="529"/>
      <c r="W34" s="529"/>
      <c r="X34" s="529"/>
      <c r="Y34" s="529"/>
      <c r="Z34" s="529"/>
      <c r="AA34" s="530"/>
    </row>
    <row r="35" spans="3:28" s="67" customFormat="1" ht="15" customHeight="1" x14ac:dyDescent="0.3">
      <c r="D35" s="67" t="s">
        <v>69</v>
      </c>
      <c r="F35" s="67">
        <f>N$6-LEN(D34)</f>
        <v>1000</v>
      </c>
      <c r="N35" s="68"/>
      <c r="O35" s="69"/>
      <c r="R35" s="67" t="s">
        <v>69</v>
      </c>
      <c r="T35" s="67">
        <f>AB$6-LEN(R34)</f>
        <v>1000</v>
      </c>
      <c r="AB35" s="68"/>
    </row>
    <row r="36" spans="3:28" x14ac:dyDescent="0.3">
      <c r="O36" s="50"/>
    </row>
    <row r="37" spans="3:28" ht="15.75" customHeight="1" x14ac:dyDescent="0.3">
      <c r="C37" s="9" t="s">
        <v>436</v>
      </c>
      <c r="O37" s="50"/>
      <c r="Q37" s="9" t="s">
        <v>436</v>
      </c>
    </row>
    <row r="38" spans="3:28" ht="90.75" customHeight="1" x14ac:dyDescent="0.3">
      <c r="D38" s="523"/>
      <c r="E38" s="524"/>
      <c r="F38" s="524"/>
      <c r="G38" s="524"/>
      <c r="H38" s="524"/>
      <c r="I38" s="524"/>
      <c r="J38" s="524"/>
      <c r="K38" s="524"/>
      <c r="L38" s="524"/>
      <c r="M38" s="525"/>
      <c r="O38" s="50"/>
      <c r="R38" s="528"/>
      <c r="S38" s="529"/>
      <c r="T38" s="529"/>
      <c r="U38" s="529"/>
      <c r="V38" s="529"/>
      <c r="W38" s="529"/>
      <c r="X38" s="529"/>
      <c r="Y38" s="529"/>
      <c r="Z38" s="529"/>
      <c r="AA38" s="530"/>
    </row>
    <row r="39" spans="3:28" s="67" customFormat="1" ht="15" customHeight="1" x14ac:dyDescent="0.3">
      <c r="D39" s="67" t="s">
        <v>69</v>
      </c>
      <c r="F39" s="67">
        <f>N$6-LEN(D38)</f>
        <v>1000</v>
      </c>
      <c r="N39" s="68"/>
      <c r="O39" s="69"/>
      <c r="R39" s="67" t="s">
        <v>69</v>
      </c>
      <c r="T39" s="67">
        <f>AB$6-LEN(R38)</f>
        <v>1000</v>
      </c>
      <c r="AB39" s="68"/>
    </row>
    <row r="40" spans="3:28" s="8" customFormat="1" ht="15" customHeight="1" x14ac:dyDescent="0.3">
      <c r="N40" s="31"/>
      <c r="O40" s="51"/>
      <c r="AB40" s="31"/>
    </row>
    <row r="41" spans="3:28" ht="15.75" customHeight="1" x14ac:dyDescent="0.3">
      <c r="C41" s="9" t="s">
        <v>437</v>
      </c>
      <c r="O41" s="50"/>
      <c r="Q41" s="9" t="s">
        <v>437</v>
      </c>
    </row>
    <row r="42" spans="3:28" ht="89.25" customHeight="1" x14ac:dyDescent="0.3">
      <c r="D42" s="523"/>
      <c r="E42" s="524"/>
      <c r="F42" s="524"/>
      <c r="G42" s="524"/>
      <c r="H42" s="524"/>
      <c r="I42" s="524"/>
      <c r="J42" s="524"/>
      <c r="K42" s="524"/>
      <c r="L42" s="524"/>
      <c r="M42" s="525"/>
      <c r="O42" s="50"/>
      <c r="R42" s="528"/>
      <c r="S42" s="529"/>
      <c r="T42" s="529"/>
      <c r="U42" s="529"/>
      <c r="V42" s="529"/>
      <c r="W42" s="529"/>
      <c r="X42" s="529"/>
      <c r="Y42" s="529"/>
      <c r="Z42" s="529"/>
      <c r="AA42" s="530"/>
    </row>
    <row r="43" spans="3:28" s="67" customFormat="1" ht="15" customHeight="1" x14ac:dyDescent="0.3">
      <c r="D43" s="67" t="s">
        <v>69</v>
      </c>
      <c r="F43" s="67">
        <f>N$6-LEN(D42)</f>
        <v>1000</v>
      </c>
      <c r="N43" s="68"/>
      <c r="O43" s="69"/>
      <c r="R43" s="67" t="s">
        <v>69</v>
      </c>
      <c r="T43" s="67">
        <f>AB$6-LEN(R42)</f>
        <v>1000</v>
      </c>
      <c r="AB43" s="68"/>
    </row>
    <row r="44" spans="3:28" x14ac:dyDescent="0.3">
      <c r="O44" s="50"/>
    </row>
    <row r="45" spans="3:28" ht="15.75" customHeight="1" x14ac:dyDescent="0.3">
      <c r="C45" s="9" t="s">
        <v>448</v>
      </c>
      <c r="O45" s="50"/>
      <c r="Q45" s="9" t="s">
        <v>448</v>
      </c>
    </row>
    <row r="46" spans="3:28" ht="90" customHeight="1" x14ac:dyDescent="0.3">
      <c r="D46" s="523"/>
      <c r="E46" s="524"/>
      <c r="F46" s="524"/>
      <c r="G46" s="524"/>
      <c r="H46" s="524"/>
      <c r="I46" s="524"/>
      <c r="J46" s="524"/>
      <c r="K46" s="524"/>
      <c r="L46" s="524"/>
      <c r="M46" s="525"/>
      <c r="O46" s="50"/>
      <c r="R46" s="528"/>
      <c r="S46" s="529"/>
      <c r="T46" s="529"/>
      <c r="U46" s="529"/>
      <c r="V46" s="529"/>
      <c r="W46" s="529"/>
      <c r="X46" s="529"/>
      <c r="Y46" s="529"/>
      <c r="Z46" s="529"/>
      <c r="AA46" s="530"/>
    </row>
    <row r="47" spans="3:28" s="67" customFormat="1" ht="15" customHeight="1" x14ac:dyDescent="0.3">
      <c r="D47" s="67" t="s">
        <v>69</v>
      </c>
      <c r="F47" s="67">
        <f>N$6-LEN(D46)</f>
        <v>1000</v>
      </c>
      <c r="N47" s="68"/>
      <c r="O47" s="69"/>
      <c r="R47" s="67" t="s">
        <v>69</v>
      </c>
      <c r="T47" s="67">
        <f>AB$6-LEN(R46)</f>
        <v>1000</v>
      </c>
      <c r="AB47" s="68"/>
    </row>
    <row r="48" spans="3:28" x14ac:dyDescent="0.3">
      <c r="O48" s="50"/>
    </row>
    <row r="49" spans="3:28" ht="15.75" customHeight="1" x14ac:dyDescent="0.3">
      <c r="C49" s="9" t="s">
        <v>449</v>
      </c>
      <c r="O49" s="50"/>
      <c r="Q49" s="9" t="s">
        <v>449</v>
      </c>
    </row>
    <row r="50" spans="3:28" ht="90" customHeight="1" x14ac:dyDescent="0.3">
      <c r="D50" s="523"/>
      <c r="E50" s="524"/>
      <c r="F50" s="524"/>
      <c r="G50" s="524"/>
      <c r="H50" s="524"/>
      <c r="I50" s="524"/>
      <c r="J50" s="524"/>
      <c r="K50" s="524"/>
      <c r="L50" s="524"/>
      <c r="M50" s="525"/>
      <c r="O50" s="50"/>
      <c r="R50" s="528"/>
      <c r="S50" s="529"/>
      <c r="T50" s="529"/>
      <c r="U50" s="529"/>
      <c r="V50" s="529"/>
      <c r="W50" s="529"/>
      <c r="X50" s="529"/>
      <c r="Y50" s="529"/>
      <c r="Z50" s="529"/>
      <c r="AA50" s="530"/>
    </row>
    <row r="51" spans="3:28" s="67" customFormat="1" ht="15" customHeight="1" x14ac:dyDescent="0.3">
      <c r="D51" s="67" t="s">
        <v>69</v>
      </c>
      <c r="F51" s="67">
        <f>N$6-LEN(D50)</f>
        <v>1000</v>
      </c>
      <c r="N51" s="68"/>
      <c r="O51" s="69"/>
      <c r="R51" s="67" t="s">
        <v>69</v>
      </c>
      <c r="T51" s="67">
        <f>AB$6-LEN(R50)</f>
        <v>1000</v>
      </c>
      <c r="AB51" s="68"/>
    </row>
    <row r="52" spans="3:28" x14ac:dyDescent="0.3">
      <c r="O52" s="50"/>
    </row>
    <row r="53" spans="3:28" ht="15.75" customHeight="1" x14ac:dyDescent="0.3">
      <c r="C53" s="9" t="s">
        <v>438</v>
      </c>
      <c r="O53" s="50"/>
      <c r="Q53" s="9" t="s">
        <v>438</v>
      </c>
    </row>
    <row r="54" spans="3:28" ht="89.25" customHeight="1" x14ac:dyDescent="0.3">
      <c r="D54" s="531"/>
      <c r="E54" s="524"/>
      <c r="F54" s="524"/>
      <c r="G54" s="524"/>
      <c r="H54" s="524"/>
      <c r="I54" s="524"/>
      <c r="J54" s="524"/>
      <c r="K54" s="524"/>
      <c r="L54" s="524"/>
      <c r="M54" s="525"/>
      <c r="O54" s="50"/>
      <c r="R54" s="532"/>
      <c r="S54" s="529"/>
      <c r="T54" s="529"/>
      <c r="U54" s="529"/>
      <c r="V54" s="529"/>
      <c r="W54" s="529"/>
      <c r="X54" s="529"/>
      <c r="Y54" s="529"/>
      <c r="Z54" s="529"/>
      <c r="AA54" s="530"/>
    </row>
    <row r="55" spans="3:28" s="67" customFormat="1" ht="15" customHeight="1" x14ac:dyDescent="0.3">
      <c r="D55" s="67" t="s">
        <v>69</v>
      </c>
      <c r="F55" s="67">
        <f>N$6-LEN(D54)</f>
        <v>1000</v>
      </c>
      <c r="N55" s="68"/>
      <c r="O55" s="69"/>
      <c r="R55" s="67" t="s">
        <v>69</v>
      </c>
      <c r="T55" s="67">
        <f>AB$6-LEN(R54)</f>
        <v>1000</v>
      </c>
      <c r="AB55" s="68"/>
    </row>
    <row r="56" spans="3:28" s="67" customFormat="1" ht="15" customHeight="1" x14ac:dyDescent="0.3">
      <c r="N56" s="68"/>
      <c r="O56" s="69"/>
      <c r="AB56" s="68"/>
    </row>
    <row r="57" spans="3:28" s="8" customFormat="1" ht="15" customHeight="1" x14ac:dyDescent="0.3">
      <c r="N57" s="31"/>
      <c r="O57" s="51"/>
      <c r="AB57" s="31"/>
    </row>
    <row r="58" spans="3:28" ht="15.75" customHeight="1" x14ac:dyDescent="0.3">
      <c r="C58" s="9" t="s">
        <v>439</v>
      </c>
      <c r="O58" s="50"/>
      <c r="Q58" s="9" t="s">
        <v>439</v>
      </c>
    </row>
    <row r="59" spans="3:28" ht="93.75" customHeight="1" x14ac:dyDescent="0.3">
      <c r="D59" s="523"/>
      <c r="E59" s="524"/>
      <c r="F59" s="524"/>
      <c r="G59" s="524"/>
      <c r="H59" s="524"/>
      <c r="I59" s="524"/>
      <c r="J59" s="524"/>
      <c r="K59" s="524"/>
      <c r="L59" s="524"/>
      <c r="M59" s="525"/>
      <c r="O59" s="50"/>
      <c r="R59" s="528"/>
      <c r="S59" s="529"/>
      <c r="T59" s="529"/>
      <c r="U59" s="529"/>
      <c r="V59" s="529"/>
      <c r="W59" s="529"/>
      <c r="X59" s="529"/>
      <c r="Y59" s="529"/>
      <c r="Z59" s="529"/>
      <c r="AA59" s="530"/>
    </row>
    <row r="60" spans="3:28" s="67" customFormat="1" ht="15" customHeight="1" x14ac:dyDescent="0.3">
      <c r="D60" s="67" t="s">
        <v>69</v>
      </c>
      <c r="F60" s="67">
        <f>N$6-LEN(D59)</f>
        <v>1000</v>
      </c>
      <c r="N60" s="68"/>
      <c r="O60" s="69"/>
      <c r="R60" s="67" t="s">
        <v>69</v>
      </c>
      <c r="T60" s="67">
        <f>AB$6-LEN(R59)</f>
        <v>1000</v>
      </c>
      <c r="AB60" s="68"/>
    </row>
    <row r="61" spans="3:28" x14ac:dyDescent="0.3">
      <c r="O61" s="50"/>
    </row>
    <row r="62" spans="3:28" ht="15.75" customHeight="1" x14ac:dyDescent="0.3">
      <c r="C62" s="9" t="s">
        <v>440</v>
      </c>
      <c r="O62" s="50"/>
      <c r="Q62" s="9" t="s">
        <v>440</v>
      </c>
    </row>
    <row r="63" spans="3:28" ht="90.75" customHeight="1" x14ac:dyDescent="0.3">
      <c r="D63" s="523"/>
      <c r="E63" s="524"/>
      <c r="F63" s="524"/>
      <c r="G63" s="524"/>
      <c r="H63" s="524"/>
      <c r="I63" s="524"/>
      <c r="J63" s="524"/>
      <c r="K63" s="524"/>
      <c r="L63" s="524"/>
      <c r="M63" s="525"/>
      <c r="O63" s="50"/>
      <c r="R63" s="528"/>
      <c r="S63" s="529"/>
      <c r="T63" s="529"/>
      <c r="U63" s="529"/>
      <c r="V63" s="529"/>
      <c r="W63" s="529"/>
      <c r="X63" s="529"/>
      <c r="Y63" s="529"/>
      <c r="Z63" s="529"/>
      <c r="AA63" s="530"/>
    </row>
    <row r="64" spans="3:28" s="67" customFormat="1" ht="15" customHeight="1" x14ac:dyDescent="0.3">
      <c r="D64" s="67" t="s">
        <v>69</v>
      </c>
      <c r="F64" s="67">
        <f>N$6-LEN(D63)</f>
        <v>1000</v>
      </c>
      <c r="N64" s="68"/>
      <c r="O64" s="69"/>
      <c r="R64" s="67" t="s">
        <v>69</v>
      </c>
      <c r="T64" s="67">
        <f>AB$6-LEN(R63)</f>
        <v>1000</v>
      </c>
      <c r="AB64" s="68"/>
    </row>
    <row r="65" spans="3:28" s="8" customFormat="1" ht="15" customHeight="1" x14ac:dyDescent="0.3">
      <c r="N65" s="31"/>
      <c r="O65" s="51"/>
      <c r="AB65" s="31"/>
    </row>
    <row r="66" spans="3:28" x14ac:dyDescent="0.3">
      <c r="O66" s="50"/>
    </row>
    <row r="67" spans="3:28" ht="15.75" customHeight="1" x14ac:dyDescent="0.3">
      <c r="C67" s="9" t="s">
        <v>441</v>
      </c>
      <c r="O67" s="50"/>
      <c r="Q67" s="9" t="s">
        <v>441</v>
      </c>
    </row>
    <row r="68" spans="3:28" ht="90.75" customHeight="1" x14ac:dyDescent="0.3">
      <c r="D68" s="523"/>
      <c r="E68" s="524"/>
      <c r="F68" s="524"/>
      <c r="G68" s="524"/>
      <c r="H68" s="524"/>
      <c r="I68" s="524"/>
      <c r="J68" s="524"/>
      <c r="K68" s="524"/>
      <c r="L68" s="524"/>
      <c r="M68" s="525"/>
      <c r="O68" s="50"/>
      <c r="R68" s="528"/>
      <c r="S68" s="529"/>
      <c r="T68" s="529"/>
      <c r="U68" s="529"/>
      <c r="V68" s="529"/>
      <c r="W68" s="529"/>
      <c r="X68" s="529"/>
      <c r="Y68" s="529"/>
      <c r="Z68" s="529"/>
      <c r="AA68" s="530"/>
    </row>
    <row r="69" spans="3:28" s="67" customFormat="1" ht="15" customHeight="1" x14ac:dyDescent="0.3">
      <c r="D69" s="67" t="s">
        <v>69</v>
      </c>
      <c r="F69" s="67">
        <f>N$6-LEN(D68)</f>
        <v>1000</v>
      </c>
      <c r="N69" s="68"/>
      <c r="O69" s="69"/>
      <c r="R69" s="67" t="s">
        <v>69</v>
      </c>
      <c r="T69" s="67">
        <f>AB$6-LEN(R68)</f>
        <v>1000</v>
      </c>
      <c r="AB69" s="68"/>
    </row>
    <row r="70" spans="3:28" s="8" customFormat="1" ht="15" customHeight="1" x14ac:dyDescent="0.3">
      <c r="N70" s="31"/>
      <c r="O70" s="51"/>
      <c r="AB70" s="31"/>
    </row>
    <row r="71" spans="3:28" ht="15.75" customHeight="1" x14ac:dyDescent="0.3">
      <c r="C71" s="9" t="s">
        <v>450</v>
      </c>
      <c r="O71" s="50"/>
      <c r="Q71" s="9" t="s">
        <v>450</v>
      </c>
    </row>
    <row r="72" spans="3:28" ht="90.75" customHeight="1" x14ac:dyDescent="0.3">
      <c r="D72" s="523"/>
      <c r="E72" s="524"/>
      <c r="F72" s="524"/>
      <c r="G72" s="524"/>
      <c r="H72" s="524"/>
      <c r="I72" s="524"/>
      <c r="J72" s="524"/>
      <c r="K72" s="524"/>
      <c r="L72" s="524"/>
      <c r="M72" s="525"/>
      <c r="O72" s="50"/>
      <c r="R72" s="528"/>
      <c r="S72" s="529"/>
      <c r="T72" s="529"/>
      <c r="U72" s="529"/>
      <c r="V72" s="529"/>
      <c r="W72" s="529"/>
      <c r="X72" s="529"/>
      <c r="Y72" s="529"/>
      <c r="Z72" s="529"/>
      <c r="AA72" s="530"/>
    </row>
    <row r="73" spans="3:28" s="67" customFormat="1" ht="15" customHeight="1" x14ac:dyDescent="0.3">
      <c r="D73" s="67" t="s">
        <v>69</v>
      </c>
      <c r="F73" s="67">
        <f>N$6-LEN(D72)</f>
        <v>1000</v>
      </c>
      <c r="N73" s="68"/>
      <c r="O73" s="69"/>
      <c r="R73" s="67" t="s">
        <v>69</v>
      </c>
      <c r="T73" s="67">
        <f>AB$6-LEN(R72)</f>
        <v>1000</v>
      </c>
      <c r="AB73" s="68"/>
    </row>
    <row r="74" spans="3:28" x14ac:dyDescent="0.3">
      <c r="O74" s="50"/>
    </row>
    <row r="75" spans="3:28" ht="15.75" customHeight="1" x14ac:dyDescent="0.3">
      <c r="C75" s="9" t="s">
        <v>609</v>
      </c>
      <c r="O75" s="50"/>
      <c r="Q75" s="9" t="s">
        <v>609</v>
      </c>
    </row>
    <row r="76" spans="3:28" ht="90.75" customHeight="1" x14ac:dyDescent="0.3">
      <c r="D76" s="523"/>
      <c r="E76" s="524"/>
      <c r="F76" s="524"/>
      <c r="G76" s="524"/>
      <c r="H76" s="524"/>
      <c r="I76" s="524"/>
      <c r="J76" s="524"/>
      <c r="K76" s="524"/>
      <c r="L76" s="524"/>
      <c r="M76" s="525"/>
      <c r="O76" s="50"/>
      <c r="R76" s="528"/>
      <c r="S76" s="529"/>
      <c r="T76" s="529"/>
      <c r="U76" s="529"/>
      <c r="V76" s="529"/>
      <c r="W76" s="529"/>
      <c r="X76" s="529"/>
      <c r="Y76" s="529"/>
      <c r="Z76" s="529"/>
      <c r="AA76" s="530"/>
    </row>
    <row r="77" spans="3:28" s="67" customFormat="1" ht="15" customHeight="1" x14ac:dyDescent="0.3">
      <c r="D77" s="67" t="s">
        <v>69</v>
      </c>
      <c r="F77" s="67">
        <f>N$6-LEN(D76)</f>
        <v>1000</v>
      </c>
      <c r="N77" s="68"/>
      <c r="O77" s="69"/>
      <c r="R77" s="67" t="s">
        <v>69</v>
      </c>
      <c r="T77" s="67">
        <f>AB$6-LEN(R76)</f>
        <v>1000</v>
      </c>
      <c r="AB77" s="68"/>
    </row>
    <row r="78" spans="3:28" s="8" customFormat="1" ht="15" customHeight="1" x14ac:dyDescent="0.3">
      <c r="N78" s="31"/>
      <c r="O78" s="51"/>
      <c r="AB78" s="31"/>
    </row>
    <row r="79" spans="3:28" ht="15.75" customHeight="1" x14ac:dyDescent="0.3">
      <c r="C79" s="9" t="s">
        <v>442</v>
      </c>
      <c r="O79" s="50"/>
      <c r="Q79" s="9" t="s">
        <v>442</v>
      </c>
    </row>
    <row r="80" spans="3:28" ht="90.75" customHeight="1" x14ac:dyDescent="0.3">
      <c r="D80" s="523"/>
      <c r="E80" s="524"/>
      <c r="F80" s="524"/>
      <c r="G80" s="524"/>
      <c r="H80" s="524"/>
      <c r="I80" s="524"/>
      <c r="J80" s="524"/>
      <c r="K80" s="524"/>
      <c r="L80" s="524"/>
      <c r="M80" s="525"/>
      <c r="O80" s="50"/>
      <c r="R80" s="528"/>
      <c r="S80" s="529"/>
      <c r="T80" s="529"/>
      <c r="U80" s="529"/>
      <c r="V80" s="529"/>
      <c r="W80" s="529"/>
      <c r="X80" s="529"/>
      <c r="Y80" s="529"/>
      <c r="Z80" s="529"/>
      <c r="AA80" s="530"/>
    </row>
    <row r="81" spans="3:28" s="67" customFormat="1" ht="15" customHeight="1" x14ac:dyDescent="0.3">
      <c r="D81" s="67" t="s">
        <v>69</v>
      </c>
      <c r="F81" s="67">
        <f>N$6-LEN(D80)</f>
        <v>1000</v>
      </c>
      <c r="N81" s="68"/>
      <c r="O81" s="69"/>
      <c r="R81" s="67" t="s">
        <v>69</v>
      </c>
      <c r="T81" s="67">
        <f>AB$6-LEN(R80)</f>
        <v>1000</v>
      </c>
      <c r="AB81" s="68"/>
    </row>
    <row r="82" spans="3:28" x14ac:dyDescent="0.3">
      <c r="O82" s="50"/>
    </row>
    <row r="83" spans="3:28" ht="15.75" customHeight="1" x14ac:dyDescent="0.3">
      <c r="C83" s="9" t="s">
        <v>443</v>
      </c>
      <c r="O83" s="50"/>
      <c r="Q83" s="9" t="s">
        <v>443</v>
      </c>
    </row>
    <row r="84" spans="3:28" ht="90.75" customHeight="1" x14ac:dyDescent="0.3">
      <c r="D84" s="523"/>
      <c r="E84" s="524"/>
      <c r="F84" s="524"/>
      <c r="G84" s="524"/>
      <c r="H84" s="524"/>
      <c r="I84" s="524"/>
      <c r="J84" s="524"/>
      <c r="K84" s="524"/>
      <c r="L84" s="524"/>
      <c r="M84" s="525"/>
      <c r="O84" s="50"/>
      <c r="R84" s="528"/>
      <c r="S84" s="529"/>
      <c r="T84" s="529"/>
      <c r="U84" s="529"/>
      <c r="V84" s="529"/>
      <c r="W84" s="529"/>
      <c r="X84" s="529"/>
      <c r="Y84" s="529"/>
      <c r="Z84" s="529"/>
      <c r="AA84" s="530"/>
    </row>
    <row r="85" spans="3:28" s="67" customFormat="1" ht="15" customHeight="1" x14ac:dyDescent="0.3">
      <c r="D85" s="67" t="s">
        <v>69</v>
      </c>
      <c r="F85" s="67">
        <f>N$6-LEN(D84)</f>
        <v>1000</v>
      </c>
      <c r="N85" s="68"/>
      <c r="O85" s="69"/>
      <c r="R85" s="67" t="s">
        <v>69</v>
      </c>
      <c r="T85" s="67">
        <f>AB$6-LEN(R84)</f>
        <v>1000</v>
      </c>
      <c r="AB85" s="68"/>
    </row>
    <row r="86" spans="3:28" s="67" customFormat="1" ht="15" customHeight="1" x14ac:dyDescent="0.3">
      <c r="N86" s="68"/>
      <c r="O86" s="69"/>
      <c r="AB86" s="68"/>
    </row>
    <row r="87" spans="3:28" s="67" customFormat="1" ht="15" customHeight="1" x14ac:dyDescent="0.3">
      <c r="C87" s="9" t="s">
        <v>451</v>
      </c>
      <c r="D87" s="9"/>
      <c r="E87" s="1"/>
      <c r="F87" s="1"/>
      <c r="G87" s="1"/>
      <c r="H87" s="1"/>
      <c r="I87" s="1"/>
      <c r="J87" s="1"/>
      <c r="K87" s="1"/>
      <c r="L87" s="1"/>
      <c r="M87" s="1"/>
      <c r="N87" s="1"/>
      <c r="O87" s="69"/>
      <c r="Q87" s="9" t="s">
        <v>451</v>
      </c>
      <c r="R87" s="9"/>
      <c r="S87" s="1"/>
      <c r="T87" s="1"/>
      <c r="U87" s="1"/>
      <c r="V87" s="1"/>
      <c r="W87" s="1"/>
      <c r="X87" s="1"/>
      <c r="Y87" s="1"/>
      <c r="Z87" s="1"/>
      <c r="AA87" s="1"/>
      <c r="AB87" s="68"/>
    </row>
    <row r="88" spans="3:28" s="67" customFormat="1" ht="92.25" customHeight="1" x14ac:dyDescent="0.3">
      <c r="D88" s="523"/>
      <c r="E88" s="524"/>
      <c r="F88" s="524"/>
      <c r="G88" s="524"/>
      <c r="H88" s="524"/>
      <c r="I88" s="524"/>
      <c r="J88" s="524"/>
      <c r="K88" s="524"/>
      <c r="L88" s="524"/>
      <c r="M88" s="525"/>
      <c r="N88" s="192"/>
      <c r="O88" s="69"/>
      <c r="R88" s="528"/>
      <c r="S88" s="529"/>
      <c r="T88" s="529"/>
      <c r="U88" s="529"/>
      <c r="V88" s="529"/>
      <c r="W88" s="529"/>
      <c r="X88" s="529"/>
      <c r="Y88" s="529"/>
      <c r="Z88" s="529"/>
      <c r="AA88" s="530"/>
      <c r="AB88" s="68"/>
    </row>
    <row r="89" spans="3:28" s="67" customFormat="1" ht="15" customHeight="1" x14ac:dyDescent="0.3">
      <c r="D89" s="67" t="s">
        <v>69</v>
      </c>
      <c r="F89" s="67">
        <f>N$6-LEN(D88)</f>
        <v>1000</v>
      </c>
      <c r="O89" s="69"/>
      <c r="R89" s="67" t="s">
        <v>69</v>
      </c>
      <c r="T89" s="67">
        <f>AB$6-LEN(R88)</f>
        <v>1000</v>
      </c>
      <c r="AB89" s="68"/>
    </row>
    <row r="90" spans="3:28" s="8" customFormat="1" ht="15" customHeight="1" x14ac:dyDescent="0.3">
      <c r="N90" s="31"/>
      <c r="O90" s="51"/>
      <c r="AB90" s="31"/>
    </row>
    <row r="91" spans="3:28" s="8" customFormat="1" ht="15" customHeight="1" x14ac:dyDescent="0.3">
      <c r="C91" s="9" t="s">
        <v>452</v>
      </c>
      <c r="N91" s="31"/>
      <c r="O91" s="51"/>
      <c r="Q91" s="9" t="s">
        <v>452</v>
      </c>
      <c r="AB91" s="31"/>
    </row>
    <row r="92" spans="3:28" s="8" customFormat="1" ht="90" customHeight="1" x14ac:dyDescent="0.3">
      <c r="D92" s="523"/>
      <c r="E92" s="524"/>
      <c r="F92" s="524"/>
      <c r="G92" s="524"/>
      <c r="H92" s="524"/>
      <c r="I92" s="524"/>
      <c r="J92" s="524"/>
      <c r="K92" s="524"/>
      <c r="L92" s="524"/>
      <c r="M92" s="525"/>
      <c r="N92" s="31"/>
      <c r="O92" s="51"/>
      <c r="R92" s="528"/>
      <c r="S92" s="529"/>
      <c r="T92" s="529"/>
      <c r="U92" s="529"/>
      <c r="V92" s="529"/>
      <c r="W92" s="529"/>
      <c r="X92" s="529"/>
      <c r="Y92" s="529"/>
      <c r="Z92" s="529"/>
      <c r="AA92" s="530"/>
      <c r="AB92" s="31"/>
    </row>
    <row r="93" spans="3:28" s="8" customFormat="1" ht="15" customHeight="1" x14ac:dyDescent="0.3">
      <c r="D93" s="67" t="s">
        <v>69</v>
      </c>
      <c r="E93" s="67"/>
      <c r="F93" s="67">
        <f>N$6-LEN(D92)</f>
        <v>1000</v>
      </c>
      <c r="G93" s="67"/>
      <c r="H93" s="67"/>
      <c r="I93" s="67"/>
      <c r="J93" s="67"/>
      <c r="K93" s="67"/>
      <c r="L93" s="67"/>
      <c r="M93" s="67"/>
      <c r="N93" s="31"/>
      <c r="O93" s="51"/>
      <c r="R93" s="67" t="s">
        <v>69</v>
      </c>
      <c r="S93" s="67"/>
      <c r="T93" s="67">
        <f>AB$6-LEN(R92)</f>
        <v>1000</v>
      </c>
      <c r="U93" s="67"/>
      <c r="V93" s="67"/>
      <c r="W93" s="67"/>
      <c r="X93" s="67"/>
      <c r="Y93" s="67"/>
      <c r="Z93" s="67"/>
      <c r="AA93" s="67"/>
      <c r="AB93" s="31"/>
    </row>
    <row r="94" spans="3:28" s="8" customFormat="1" ht="15" customHeight="1" x14ac:dyDescent="0.3">
      <c r="N94" s="31"/>
      <c r="O94" s="51"/>
      <c r="AB94" s="31"/>
    </row>
    <row r="95" spans="3:28" ht="15.75" customHeight="1" x14ac:dyDescent="0.3">
      <c r="C95" s="9" t="s">
        <v>453</v>
      </c>
      <c r="O95" s="50"/>
      <c r="Q95" s="9" t="s">
        <v>453</v>
      </c>
    </row>
    <row r="96" spans="3:28" ht="93" customHeight="1" x14ac:dyDescent="0.3">
      <c r="D96" s="523"/>
      <c r="E96" s="524"/>
      <c r="F96" s="524"/>
      <c r="G96" s="524"/>
      <c r="H96" s="524"/>
      <c r="I96" s="524"/>
      <c r="J96" s="524"/>
      <c r="K96" s="524"/>
      <c r="L96" s="524"/>
      <c r="M96" s="525"/>
      <c r="O96" s="50"/>
      <c r="R96" s="528"/>
      <c r="S96" s="529"/>
      <c r="T96" s="529"/>
      <c r="U96" s="529"/>
      <c r="V96" s="529"/>
      <c r="W96" s="529"/>
      <c r="X96" s="529"/>
      <c r="Y96" s="529"/>
      <c r="Z96" s="529"/>
      <c r="AA96" s="530"/>
    </row>
    <row r="97" spans="2:28" s="67" customFormat="1" ht="15" customHeight="1" x14ac:dyDescent="0.3">
      <c r="D97" s="67" t="s">
        <v>69</v>
      </c>
      <c r="F97" s="67">
        <f>N$6-LEN(D96)</f>
        <v>1000</v>
      </c>
      <c r="N97" s="68"/>
      <c r="O97" s="69"/>
      <c r="R97" s="67" t="s">
        <v>69</v>
      </c>
      <c r="T97" s="67">
        <f>AB$6-LEN(R96)</f>
        <v>1000</v>
      </c>
      <c r="AB97" s="68"/>
    </row>
    <row r="98" spans="2:28" s="67" customFormat="1" ht="15" customHeight="1" x14ac:dyDescent="0.3">
      <c r="B98" s="8"/>
      <c r="C98" s="8"/>
      <c r="D98" s="8"/>
      <c r="E98" s="8"/>
      <c r="F98" s="8"/>
      <c r="G98" s="8"/>
      <c r="H98" s="8"/>
      <c r="I98" s="8"/>
      <c r="J98" s="8"/>
      <c r="K98" s="8"/>
      <c r="L98" s="8"/>
      <c r="M98" s="8"/>
      <c r="N98" s="31"/>
      <c r="O98" s="51"/>
      <c r="P98" s="8"/>
      <c r="Q98" s="8"/>
      <c r="R98" s="8"/>
      <c r="S98" s="8"/>
      <c r="T98" s="8"/>
      <c r="U98" s="8"/>
      <c r="V98" s="8"/>
      <c r="W98" s="8"/>
      <c r="X98" s="8"/>
      <c r="Y98" s="8"/>
      <c r="Z98" s="8"/>
      <c r="AA98" s="8"/>
      <c r="AB98" s="68"/>
    </row>
    <row r="99" spans="2:28" s="67" customFormat="1" ht="15" customHeight="1" x14ac:dyDescent="0.3">
      <c r="B99" s="1"/>
      <c r="C99" s="9" t="s">
        <v>454</v>
      </c>
      <c r="D99" s="1"/>
      <c r="E99" s="1"/>
      <c r="F99" s="1"/>
      <c r="G99" s="1"/>
      <c r="H99" s="1"/>
      <c r="I99" s="1"/>
      <c r="J99" s="1"/>
      <c r="K99" s="1"/>
      <c r="L99" s="1"/>
      <c r="M99" s="1"/>
      <c r="N99" s="30"/>
      <c r="O99" s="50"/>
      <c r="P99" s="1"/>
      <c r="Q99" s="9" t="s">
        <v>454</v>
      </c>
      <c r="R99" s="1"/>
      <c r="S99" s="1"/>
      <c r="T99" s="1"/>
      <c r="U99" s="1"/>
      <c r="V99" s="1"/>
      <c r="W99" s="1"/>
      <c r="X99" s="1"/>
      <c r="Y99" s="1"/>
      <c r="Z99" s="1"/>
      <c r="AA99" s="1"/>
      <c r="AB99" s="68"/>
    </row>
    <row r="100" spans="2:28" s="67" customFormat="1" ht="91.5" customHeight="1" x14ac:dyDescent="0.3">
      <c r="B100" s="1"/>
      <c r="C100" s="1"/>
      <c r="D100" s="523"/>
      <c r="E100" s="524"/>
      <c r="F100" s="524"/>
      <c r="G100" s="524"/>
      <c r="H100" s="524"/>
      <c r="I100" s="524"/>
      <c r="J100" s="524"/>
      <c r="K100" s="524"/>
      <c r="L100" s="524"/>
      <c r="M100" s="525"/>
      <c r="N100" s="30"/>
      <c r="O100" s="50"/>
      <c r="P100" s="1"/>
      <c r="Q100" s="1"/>
      <c r="R100" s="528"/>
      <c r="S100" s="529"/>
      <c r="T100" s="529"/>
      <c r="U100" s="529"/>
      <c r="V100" s="529"/>
      <c r="W100" s="529"/>
      <c r="X100" s="529"/>
      <c r="Y100" s="529"/>
      <c r="Z100" s="529"/>
      <c r="AA100" s="530"/>
      <c r="AB100" s="68"/>
    </row>
    <row r="101" spans="2:28" s="67" customFormat="1" ht="15" customHeight="1" x14ac:dyDescent="0.3">
      <c r="D101" s="67" t="s">
        <v>69</v>
      </c>
      <c r="F101" s="67">
        <f>N$6-LEN(D100)</f>
        <v>1000</v>
      </c>
      <c r="N101" s="68"/>
      <c r="O101" s="69"/>
      <c r="R101" s="67" t="s">
        <v>69</v>
      </c>
      <c r="T101" s="67">
        <f>AB$6-LEN(R100)</f>
        <v>1000</v>
      </c>
      <c r="AB101" s="68"/>
    </row>
    <row r="102" spans="2:28" s="67" customFormat="1" ht="15" customHeight="1" x14ac:dyDescent="0.3">
      <c r="B102" s="8"/>
      <c r="C102" s="8"/>
      <c r="D102" s="8"/>
      <c r="E102" s="8"/>
      <c r="F102" s="8"/>
      <c r="G102" s="8"/>
      <c r="H102" s="8"/>
      <c r="I102" s="8"/>
      <c r="J102" s="8"/>
      <c r="K102" s="8"/>
      <c r="L102" s="8"/>
      <c r="M102" s="8"/>
      <c r="N102" s="31"/>
      <c r="O102" s="51"/>
      <c r="P102" s="8"/>
      <c r="Q102" s="8"/>
      <c r="R102" s="8"/>
      <c r="S102" s="8"/>
      <c r="T102" s="8"/>
      <c r="U102" s="8"/>
      <c r="V102" s="8"/>
      <c r="W102" s="8"/>
      <c r="X102" s="8"/>
      <c r="Y102" s="8"/>
      <c r="Z102" s="8"/>
      <c r="AA102" s="8"/>
      <c r="AB102" s="68"/>
    </row>
    <row r="103" spans="2:28" ht="15.75" customHeight="1" x14ac:dyDescent="0.3">
      <c r="C103" s="9" t="s">
        <v>455</v>
      </c>
      <c r="O103" s="50"/>
      <c r="Q103" s="9" t="s">
        <v>455</v>
      </c>
    </row>
    <row r="104" spans="2:28" ht="90" customHeight="1" x14ac:dyDescent="0.3">
      <c r="D104" s="523"/>
      <c r="E104" s="524"/>
      <c r="F104" s="524"/>
      <c r="G104" s="524"/>
      <c r="H104" s="524"/>
      <c r="I104" s="524"/>
      <c r="J104" s="524"/>
      <c r="K104" s="524"/>
      <c r="L104" s="524"/>
      <c r="M104" s="525"/>
      <c r="O104" s="50"/>
      <c r="R104" s="528"/>
      <c r="S104" s="529"/>
      <c r="T104" s="529"/>
      <c r="U104" s="529"/>
      <c r="V104" s="529"/>
      <c r="W104" s="529"/>
      <c r="X104" s="529"/>
      <c r="Y104" s="529"/>
      <c r="Z104" s="529"/>
      <c r="AA104" s="530"/>
    </row>
    <row r="105" spans="2:28" s="67" customFormat="1" ht="15" customHeight="1" x14ac:dyDescent="0.3">
      <c r="D105" s="67" t="s">
        <v>69</v>
      </c>
      <c r="F105" s="67">
        <f>N$6-LEN(D104)</f>
        <v>1000</v>
      </c>
      <c r="N105" s="68"/>
      <c r="O105" s="69"/>
      <c r="R105" s="67" t="s">
        <v>69</v>
      </c>
      <c r="T105" s="67">
        <f>AB$6-LEN(R104)</f>
        <v>1000</v>
      </c>
      <c r="AB105" s="68"/>
    </row>
  </sheetData>
  <sheetProtection algorithmName="SHA-512" hashValue="3uTPF5RKl4JmLLbFRMnOcbrdrQcM7jv8Gem1XxmVJST2nIUS08pC7LSdkDi0AB0cdGXuXCjgIl5FduZysTqmPw==" saltValue="9WI148j8rQOMFqaVL/wVLg==" spinCount="100000" sheet="1" objects="1" scenarios="1" selectLockedCells="1"/>
  <mergeCells count="54">
    <mergeCell ref="D100:M100"/>
    <mergeCell ref="R100:AA100"/>
    <mergeCell ref="R84:AA84"/>
    <mergeCell ref="R96:AA96"/>
    <mergeCell ref="R104:AA104"/>
    <mergeCell ref="D96:M96"/>
    <mergeCell ref="D104:M104"/>
    <mergeCell ref="D88:M88"/>
    <mergeCell ref="R88:AA88"/>
    <mergeCell ref="D92:M92"/>
    <mergeCell ref="R92:AA92"/>
    <mergeCell ref="R68:AA68"/>
    <mergeCell ref="R21:AA21"/>
    <mergeCell ref="R25:AA25"/>
    <mergeCell ref="R54:AA54"/>
    <mergeCell ref="R59:AA59"/>
    <mergeCell ref="R46:AA46"/>
    <mergeCell ref="P12:AA12"/>
    <mergeCell ref="R63:AA63"/>
    <mergeCell ref="D38:M38"/>
    <mergeCell ref="D42:M42"/>
    <mergeCell ref="D54:M54"/>
    <mergeCell ref="D59:M59"/>
    <mergeCell ref="D63:M63"/>
    <mergeCell ref="D34:M34"/>
    <mergeCell ref="D46:M46"/>
    <mergeCell ref="R50:AA50"/>
    <mergeCell ref="D76:M76"/>
    <mergeCell ref="D80:M80"/>
    <mergeCell ref="D84:M84"/>
    <mergeCell ref="P2:AA2"/>
    <mergeCell ref="P3:AA3"/>
    <mergeCell ref="S6:W6"/>
    <mergeCell ref="S8:T8"/>
    <mergeCell ref="R17:AA17"/>
    <mergeCell ref="R72:AA72"/>
    <mergeCell ref="R76:AA76"/>
    <mergeCell ref="R80:AA80"/>
    <mergeCell ref="R30:AA30"/>
    <mergeCell ref="R34:AA34"/>
    <mergeCell ref="R38:AA38"/>
    <mergeCell ref="R42:AA42"/>
    <mergeCell ref="B2:M2"/>
    <mergeCell ref="B3:M3"/>
    <mergeCell ref="E6:I6"/>
    <mergeCell ref="D17:M17"/>
    <mergeCell ref="D72:M72"/>
    <mergeCell ref="D68:M68"/>
    <mergeCell ref="D21:M21"/>
    <mergeCell ref="D25:M25"/>
    <mergeCell ref="D30:M30"/>
    <mergeCell ref="E8:F8"/>
    <mergeCell ref="B12:M12"/>
    <mergeCell ref="D50:M50"/>
  </mergeCells>
  <dataValidations count="2">
    <dataValidation showInputMessage="1" showErrorMessage="1" sqref="E8:F8 S8:T8" xr:uid="{00000000-0002-0000-0300-000000000000}"/>
    <dataValidation type="textLength" operator="lessThanOrEqual" allowBlank="1" showInputMessage="1" showErrorMessage="1" sqref="D96:M96 D84:M84 D80:M80 D76:M76 D72:M72 D68:M68 D63:M63 D59:M59 D54:M54 D42:M42 D38:M38 D34:M34 D30:M30 D25:M25 D21:M21 D17:M17 D104:M104 D92:M92 D88:N88 D100:M100 D50:M50 D46:M46 R96:AA96 R84:AA84 R80:AA80 R76:AA76 R72:AA72 R68:AA68 R63:AA63 R59:AA59 R54:AA54 R42:AA42 R38:AA38 R34:AA34 R30:AA30 R25:AA25 R21:AA21 R17:AA17 R104:AA104 R92:AA92 R88:AA88 R100:AA100 R50:AA50 R46:AA46" xr:uid="{00000000-0002-0000-0300-000001000000}">
      <formula1>N$6</formula1>
    </dataValidation>
  </dataValidations>
  <pageMargins left="0.7" right="0.7" top="0.75" bottom="0.75" header="0.3" footer="0.3"/>
  <pageSetup scale="60" fitToWidth="2" fitToHeight="4" orientation="portrait" r:id="rId1"/>
  <headerFooter>
    <oddFooter>&amp;CTab: &amp;A&amp;RPrint Date: &amp;D</oddFooter>
  </headerFooter>
  <rowBreaks count="8" manualBreakCount="8">
    <brk id="27" min="1" max="12" man="1"/>
    <brk id="27" min="15" max="26" man="1"/>
    <brk id="55" min="15" max="26" man="1"/>
    <brk id="55" min="1" max="12" man="1"/>
    <brk id="73" min="1" max="12" man="1"/>
    <brk id="73" min="15" max="26" man="1"/>
    <brk id="97" min="1" max="12" man="1"/>
    <brk id="97" min="15" max="2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B1:AC26"/>
  <sheetViews>
    <sheetView showGridLines="0" view="pageBreakPreview" zoomScaleNormal="100" zoomScaleSheetLayoutView="100" workbookViewId="0">
      <selection activeCell="C17" sqref="C17"/>
    </sheetView>
  </sheetViews>
  <sheetFormatPr defaultColWidth="9.109375" defaultRowHeight="15.6" x14ac:dyDescent="0.3"/>
  <cols>
    <col min="1" max="1" width="3.5546875" style="1" customWidth="1"/>
    <col min="2" max="4" width="4.88671875" style="1" customWidth="1"/>
    <col min="5" max="5" width="3.44140625" style="1" customWidth="1"/>
    <col min="6" max="9" width="12.44140625" style="1" customWidth="1"/>
    <col min="10" max="10" width="20.5546875" style="1" customWidth="1"/>
    <col min="11" max="11" width="3.88671875" style="1" customWidth="1"/>
    <col min="12" max="12" width="12.44140625" style="1" customWidth="1"/>
    <col min="13" max="13" width="12.44140625" style="1" hidden="1" customWidth="1"/>
    <col min="14" max="14" width="3.5546875" style="1" customWidth="1"/>
    <col min="15" max="17" width="4.88671875" style="1" customWidth="1"/>
    <col min="18" max="18" width="3.44140625" style="1" customWidth="1"/>
    <col min="19" max="22" width="12.44140625" style="1" customWidth="1"/>
    <col min="23" max="23" width="20.5546875" style="1" customWidth="1"/>
    <col min="24" max="24" width="3.88671875" style="1" customWidth="1"/>
    <col min="25" max="25" width="12.44140625" style="1" customWidth="1"/>
    <col min="26" max="26" width="11.5546875" style="30" customWidth="1"/>
    <col min="27" max="27" width="12.5546875" style="1" customWidth="1"/>
    <col min="28" max="16384" width="9.109375" style="1"/>
  </cols>
  <sheetData>
    <row r="1" spans="2:25" x14ac:dyDescent="0.3">
      <c r="N1" s="50"/>
    </row>
    <row r="2" spans="2:25" x14ac:dyDescent="0.3">
      <c r="B2" s="410" t="s">
        <v>128</v>
      </c>
      <c r="C2" s="410"/>
      <c r="D2" s="410"/>
      <c r="E2" s="410"/>
      <c r="F2" s="410"/>
      <c r="G2" s="410"/>
      <c r="H2" s="410"/>
      <c r="I2" s="410"/>
      <c r="J2" s="410"/>
      <c r="K2" s="410"/>
      <c r="L2" s="410"/>
      <c r="M2" s="230"/>
      <c r="N2" s="50"/>
      <c r="O2" s="410" t="s">
        <v>128</v>
      </c>
      <c r="P2" s="410"/>
      <c r="Q2" s="410"/>
      <c r="R2" s="410"/>
      <c r="S2" s="410"/>
      <c r="T2" s="410"/>
      <c r="U2" s="410"/>
      <c r="V2" s="410"/>
      <c r="W2" s="410"/>
      <c r="X2" s="410"/>
      <c r="Y2" s="410"/>
    </row>
    <row r="3" spans="2:25" ht="16.2" thickBot="1" x14ac:dyDescent="0.35">
      <c r="B3" s="411" t="s">
        <v>53</v>
      </c>
      <c r="C3" s="411"/>
      <c r="D3" s="411"/>
      <c r="E3" s="411"/>
      <c r="F3" s="411"/>
      <c r="G3" s="411"/>
      <c r="H3" s="411"/>
      <c r="I3" s="411"/>
      <c r="J3" s="411"/>
      <c r="K3" s="411"/>
      <c r="L3" s="411"/>
      <c r="M3" s="2"/>
      <c r="N3" s="50"/>
      <c r="O3" s="411" t="s">
        <v>54</v>
      </c>
      <c r="P3" s="411"/>
      <c r="Q3" s="411"/>
      <c r="R3" s="411"/>
      <c r="S3" s="411"/>
      <c r="T3" s="411"/>
      <c r="U3" s="411"/>
      <c r="V3" s="411"/>
      <c r="W3" s="411"/>
      <c r="X3" s="411"/>
      <c r="Y3" s="411"/>
    </row>
    <row r="4" spans="2:25" x14ac:dyDescent="0.3">
      <c r="B4" s="2"/>
      <c r="C4" s="2"/>
      <c r="D4" s="2"/>
      <c r="E4" s="2"/>
      <c r="F4" s="2"/>
      <c r="G4" s="2"/>
      <c r="H4" s="2"/>
      <c r="I4" s="2"/>
      <c r="J4" s="2"/>
      <c r="K4" s="2"/>
      <c r="L4" s="2"/>
      <c r="M4" s="2"/>
      <c r="N4" s="50"/>
      <c r="O4" s="2"/>
      <c r="P4" s="2"/>
      <c r="Q4" s="2"/>
      <c r="R4" s="2"/>
      <c r="S4" s="2"/>
      <c r="T4" s="2"/>
      <c r="U4" s="2"/>
      <c r="V4" s="2"/>
      <c r="W4" s="2"/>
      <c r="X4" s="2"/>
      <c r="Y4" s="2"/>
    </row>
    <row r="5" spans="2:25" x14ac:dyDescent="0.3">
      <c r="B5" s="2"/>
      <c r="C5" s="2"/>
      <c r="D5" s="2"/>
      <c r="F5" s="56" t="s">
        <v>0</v>
      </c>
      <c r="G5" s="21" t="str">
        <f>IF(Summary!$E$5="","",Summary!$E$5)</f>
        <v/>
      </c>
      <c r="H5" s="86"/>
      <c r="I5" s="86"/>
      <c r="J5" s="86"/>
      <c r="K5" s="86"/>
      <c r="L5" s="2"/>
      <c r="M5" s="2"/>
      <c r="N5" s="50"/>
      <c r="O5" s="2"/>
      <c r="P5" s="2"/>
      <c r="Q5" s="2"/>
      <c r="S5" s="56" t="s">
        <v>0</v>
      </c>
      <c r="T5" s="21" t="str">
        <f>IF(Summary!$S$5="","",Summary!$S$5)</f>
        <v/>
      </c>
      <c r="U5" s="86"/>
      <c r="V5" s="86"/>
      <c r="W5" s="86"/>
      <c r="X5" s="86"/>
      <c r="Y5" s="2"/>
    </row>
    <row r="6" spans="2:25" x14ac:dyDescent="0.3">
      <c r="F6" s="56" t="s">
        <v>1</v>
      </c>
      <c r="G6" s="515" t="str">
        <f>IF(Summary!E6="","",Summary!E6)</f>
        <v/>
      </c>
      <c r="H6" s="516"/>
      <c r="I6" s="516"/>
      <c r="J6" s="516"/>
      <c r="K6" s="517"/>
      <c r="N6" s="50"/>
      <c r="S6" s="56" t="s">
        <v>1</v>
      </c>
      <c r="T6" s="515" t="str">
        <f>IF(Summary!$S6="","",Summary!$S6)</f>
        <v/>
      </c>
      <c r="U6" s="516"/>
      <c r="V6" s="516"/>
      <c r="W6" s="516"/>
      <c r="X6" s="517"/>
    </row>
    <row r="7" spans="2:25" x14ac:dyDescent="0.3">
      <c r="F7" s="56"/>
      <c r="G7" s="182"/>
      <c r="H7" s="182"/>
      <c r="I7" s="86"/>
      <c r="J7" s="86"/>
      <c r="K7" s="86"/>
      <c r="N7" s="50"/>
      <c r="S7" s="56"/>
      <c r="T7" s="182"/>
      <c r="U7" s="182"/>
      <c r="V7" s="86"/>
      <c r="W7" s="86"/>
      <c r="X7" s="86"/>
    </row>
    <row r="8" spans="2:25" x14ac:dyDescent="0.3">
      <c r="F8" s="56" t="s">
        <v>47</v>
      </c>
      <c r="G8" s="518" t="str">
        <f>IF(Summary!E8="","",Summary!E8)</f>
        <v/>
      </c>
      <c r="H8" s="518"/>
      <c r="I8" s="86"/>
      <c r="J8" s="86"/>
      <c r="K8" s="86"/>
      <c r="N8" s="50"/>
      <c r="S8" s="56" t="s">
        <v>48</v>
      </c>
      <c r="T8" s="526" t="str">
        <f>IF(Summary!$S8="","",Summary!$S8)</f>
        <v/>
      </c>
      <c r="U8" s="527"/>
      <c r="V8" s="86"/>
      <c r="W8" s="86"/>
      <c r="X8" s="86"/>
    </row>
    <row r="9" spans="2:25" x14ac:dyDescent="0.3">
      <c r="F9" s="56"/>
      <c r="G9" s="84"/>
      <c r="H9" s="84"/>
      <c r="I9" s="86"/>
      <c r="J9" s="86"/>
      <c r="K9" s="86"/>
      <c r="N9" s="50"/>
      <c r="S9" s="56"/>
      <c r="T9" s="24"/>
      <c r="U9" s="25"/>
      <c r="V9" s="86"/>
      <c r="W9" s="86"/>
      <c r="X9" s="86"/>
    </row>
    <row r="10" spans="2:25" x14ac:dyDescent="0.3">
      <c r="F10" s="56" t="s">
        <v>45</v>
      </c>
      <c r="G10" s="23">
        <f>IF(C17="X",7,0)</f>
        <v>0</v>
      </c>
      <c r="H10" s="84"/>
      <c r="I10" s="86"/>
      <c r="J10" s="86"/>
      <c r="K10" s="86"/>
      <c r="N10" s="50"/>
      <c r="S10" s="56" t="s">
        <v>46</v>
      </c>
      <c r="T10" s="23">
        <f>IF(P17="X",7,0)</f>
        <v>0</v>
      </c>
      <c r="U10" s="84"/>
      <c r="V10" s="86"/>
      <c r="W10" s="86"/>
      <c r="X10" s="86"/>
    </row>
    <row r="11" spans="2:25" ht="16.2" thickBot="1" x14ac:dyDescent="0.35">
      <c r="B11" s="3"/>
      <c r="C11" s="3"/>
      <c r="D11" s="3"/>
      <c r="E11" s="3"/>
      <c r="F11" s="3"/>
      <c r="G11" s="3"/>
      <c r="H11" s="3"/>
      <c r="I11" s="3"/>
      <c r="J11" s="3"/>
      <c r="K11" s="3"/>
      <c r="L11" s="3"/>
      <c r="N11" s="50"/>
      <c r="O11" s="3"/>
      <c r="P11" s="3"/>
      <c r="Q11" s="3"/>
      <c r="R11" s="3"/>
      <c r="S11" s="3"/>
      <c r="T11" s="3"/>
      <c r="U11" s="3"/>
      <c r="V11" s="3"/>
      <c r="W11" s="3"/>
      <c r="X11" s="3"/>
      <c r="Y11" s="3"/>
    </row>
    <row r="12" spans="2:25" x14ac:dyDescent="0.3">
      <c r="N12" s="50"/>
    </row>
    <row r="13" spans="2:25" ht="113.25" customHeight="1" x14ac:dyDescent="0.3">
      <c r="B13" s="434" t="s">
        <v>666</v>
      </c>
      <c r="C13" s="434"/>
      <c r="D13" s="434"/>
      <c r="E13" s="434"/>
      <c r="F13" s="434"/>
      <c r="G13" s="434"/>
      <c r="H13" s="434"/>
      <c r="I13" s="434"/>
      <c r="J13" s="434"/>
      <c r="K13" s="434"/>
      <c r="L13" s="434"/>
      <c r="M13" s="131"/>
      <c r="N13" s="50"/>
      <c r="O13" s="434" t="s">
        <v>666</v>
      </c>
      <c r="P13" s="434"/>
      <c r="Q13" s="434"/>
      <c r="R13" s="434"/>
      <c r="S13" s="434"/>
      <c r="T13" s="434"/>
      <c r="U13" s="434"/>
      <c r="V13" s="434"/>
      <c r="W13" s="434"/>
      <c r="X13" s="434"/>
      <c r="Y13" s="434"/>
    </row>
    <row r="14" spans="2:25" x14ac:dyDescent="0.3">
      <c r="B14" s="335"/>
      <c r="C14" s="335"/>
      <c r="D14" s="335"/>
      <c r="E14" s="335"/>
      <c r="F14" s="335"/>
      <c r="G14" s="335"/>
      <c r="H14" s="335"/>
      <c r="I14" s="335"/>
      <c r="J14" s="335"/>
      <c r="K14" s="335"/>
      <c r="L14" s="335"/>
      <c r="M14" s="131"/>
      <c r="N14" s="50"/>
      <c r="O14" s="335"/>
      <c r="P14" s="335"/>
      <c r="Q14" s="335"/>
      <c r="R14" s="335"/>
      <c r="S14" s="335"/>
      <c r="T14" s="335"/>
      <c r="U14" s="335"/>
      <c r="V14" s="335"/>
      <c r="W14" s="335"/>
      <c r="X14" s="335"/>
      <c r="Y14" s="335"/>
    </row>
    <row r="15" spans="2:25" ht="14.25" customHeight="1" thickBot="1" x14ac:dyDescent="0.35">
      <c r="B15" s="407" t="s">
        <v>484</v>
      </c>
      <c r="C15" s="407"/>
      <c r="D15" s="407"/>
      <c r="E15" s="407"/>
      <c r="F15" s="407"/>
      <c r="G15" s="407"/>
      <c r="H15" s="407"/>
      <c r="I15" s="407"/>
      <c r="J15" s="407"/>
      <c r="K15" s="407"/>
      <c r="L15" s="407"/>
      <c r="M15" s="338"/>
      <c r="N15" s="50"/>
      <c r="O15" s="407" t="s">
        <v>484</v>
      </c>
      <c r="P15" s="407"/>
      <c r="Q15" s="407"/>
      <c r="R15" s="407"/>
      <c r="S15" s="407"/>
      <c r="T15" s="407"/>
      <c r="U15" s="407"/>
      <c r="V15" s="407"/>
      <c r="W15" s="407"/>
      <c r="X15" s="407"/>
      <c r="Y15" s="407"/>
    </row>
    <row r="16" spans="2:25" ht="20.100000000000001" customHeight="1" x14ac:dyDescent="0.3">
      <c r="B16" s="338"/>
      <c r="C16" s="338"/>
      <c r="D16" s="338"/>
      <c r="E16" s="338"/>
      <c r="F16" s="338"/>
      <c r="G16" s="338"/>
      <c r="H16" s="338"/>
      <c r="I16" s="338"/>
      <c r="J16" s="338"/>
      <c r="K16" s="338"/>
      <c r="L16" s="338"/>
      <c r="M16" s="338"/>
      <c r="N16" s="50"/>
      <c r="O16" s="338"/>
      <c r="P16" s="338"/>
      <c r="Q16" s="338"/>
      <c r="R16" s="338"/>
      <c r="S16" s="338"/>
      <c r="T16" s="338"/>
      <c r="U16" s="338"/>
      <c r="V16" s="338"/>
      <c r="W16" s="338"/>
      <c r="X16" s="338"/>
      <c r="Y16" s="338"/>
    </row>
    <row r="17" spans="2:29" ht="20.100000000000001" customHeight="1" x14ac:dyDescent="0.3">
      <c r="B17" s="340" t="str">
        <f>IF(C17="X",7,"")</f>
        <v/>
      </c>
      <c r="C17" s="394"/>
      <c r="D17" s="520" t="s">
        <v>218</v>
      </c>
      <c r="E17" s="520"/>
      <c r="F17" s="520"/>
      <c r="G17" s="520"/>
      <c r="H17" s="520"/>
      <c r="I17" s="520"/>
      <c r="J17" s="520"/>
      <c r="K17" s="520"/>
      <c r="L17" s="520"/>
      <c r="M17" s="1" t="s">
        <v>3</v>
      </c>
      <c r="N17" s="50"/>
      <c r="O17" s="340" t="str">
        <f>IF(P17="X",7,"")</f>
        <v/>
      </c>
      <c r="P17" s="395"/>
      <c r="Q17" s="520" t="s">
        <v>218</v>
      </c>
      <c r="R17" s="520"/>
      <c r="S17" s="520"/>
      <c r="T17" s="520"/>
      <c r="U17" s="520"/>
      <c r="V17" s="520"/>
      <c r="W17" s="520"/>
      <c r="X17" s="520"/>
      <c r="Y17" s="520"/>
    </row>
    <row r="18" spans="2:29" ht="20.100000000000001" customHeight="1" x14ac:dyDescent="0.3">
      <c r="B18" s="338"/>
      <c r="E18" s="11"/>
      <c r="F18" s="133"/>
      <c r="G18" s="133"/>
      <c r="H18" s="133"/>
      <c r="I18" s="133"/>
      <c r="J18" s="133"/>
      <c r="N18" s="50"/>
      <c r="O18" s="338"/>
      <c r="R18" s="11"/>
      <c r="S18" s="133"/>
      <c r="T18" s="133"/>
      <c r="U18" s="133"/>
      <c r="V18" s="133"/>
      <c r="W18" s="133"/>
    </row>
    <row r="19" spans="2:29" ht="20.100000000000001" customHeight="1" x14ac:dyDescent="0.3">
      <c r="B19" s="338"/>
      <c r="C19" s="338"/>
      <c r="E19" s="8"/>
      <c r="F19" s="133"/>
      <c r="G19" s="133"/>
      <c r="H19" s="133"/>
      <c r="I19" s="133"/>
      <c r="J19" s="133"/>
      <c r="N19" s="50"/>
      <c r="O19" s="338"/>
      <c r="P19" s="338"/>
      <c r="R19" s="8"/>
      <c r="S19" s="133"/>
      <c r="T19" s="133"/>
      <c r="U19" s="133"/>
      <c r="V19" s="133"/>
      <c r="W19" s="133"/>
      <c r="Z19" s="533"/>
      <c r="AA19" s="533"/>
    </row>
    <row r="20" spans="2:29" ht="20.100000000000001" customHeight="1" x14ac:dyDescent="0.3">
      <c r="B20" s="338"/>
      <c r="C20" s="338"/>
      <c r="D20" s="338"/>
      <c r="E20" s="338"/>
      <c r="F20" s="338"/>
      <c r="G20" s="338"/>
      <c r="H20" s="338"/>
      <c r="I20" s="338"/>
      <c r="J20" s="338"/>
      <c r="K20" s="338"/>
      <c r="L20" s="338"/>
      <c r="M20" s="338"/>
      <c r="N20" s="50"/>
      <c r="O20" s="338"/>
      <c r="P20" s="338"/>
      <c r="Q20" s="338"/>
      <c r="R20" s="338"/>
      <c r="S20" s="338"/>
      <c r="T20" s="338"/>
      <c r="U20" s="338"/>
      <c r="V20" s="338"/>
      <c r="W20" s="338"/>
      <c r="X20" s="338"/>
      <c r="Y20" s="338"/>
    </row>
    <row r="21" spans="2:29" s="8" customFormat="1" ht="12" customHeight="1" x14ac:dyDescent="0.3">
      <c r="Z21" s="31"/>
    </row>
    <row r="22" spans="2:29" s="8" customFormat="1" x14ac:dyDescent="0.3">
      <c r="Z22" s="31"/>
    </row>
    <row r="26" spans="2:29" x14ac:dyDescent="0.3">
      <c r="S26" s="9"/>
      <c r="T26" s="9"/>
      <c r="U26" s="9"/>
      <c r="V26" s="9"/>
      <c r="W26" s="9"/>
      <c r="X26" s="9"/>
      <c r="Y26" s="9"/>
      <c r="Z26" s="9"/>
      <c r="AA26" s="9"/>
      <c r="AB26" s="9"/>
      <c r="AC26" s="9"/>
    </row>
  </sheetData>
  <sheetProtection algorithmName="SHA-512" hashValue="YrIIimv/EYGd5uFQ4c1d2HRHdIUozWZsGRDBXlhuPCph1PykJwlZoZDD/mxQlgk1pTh1ISsPxlVQC37hndN8Og==" saltValue="Flq7v4WEDG09UEUcfzeQ5g==" spinCount="100000" sheet="1" selectLockedCells="1"/>
  <protectedRanges>
    <protectedRange sqref="C17" name="Range1"/>
  </protectedRanges>
  <mergeCells count="15">
    <mergeCell ref="Z19:AA19"/>
    <mergeCell ref="B2:L2"/>
    <mergeCell ref="B3:L3"/>
    <mergeCell ref="G6:K6"/>
    <mergeCell ref="G8:H8"/>
    <mergeCell ref="O2:Y2"/>
    <mergeCell ref="O3:Y3"/>
    <mergeCell ref="T6:X6"/>
    <mergeCell ref="T8:U8"/>
    <mergeCell ref="Q17:Y17"/>
    <mergeCell ref="B15:L15"/>
    <mergeCell ref="O15:Y15"/>
    <mergeCell ref="B13:L13"/>
    <mergeCell ref="D17:L17"/>
    <mergeCell ref="O13:Y13"/>
  </mergeCells>
  <dataValidations count="1">
    <dataValidation type="list" operator="greaterThanOrEqual" showInputMessage="1" showErrorMessage="1" sqref="C17 P17" xr:uid="{CE7827EF-3409-4F04-A744-7A7539CCEF10}">
      <formula1>$M$16:$M$17</formula1>
    </dataValidation>
  </dataValidations>
  <pageMargins left="0.7" right="0.7" top="0.75" bottom="0.75" header="0.3" footer="0.3"/>
  <pageSetup scale="69" fitToHeight="3" orientation="portrait" r:id="rId1"/>
  <headerFooter>
    <oddFooter>&amp;CTab: &amp;A&amp;RPrint Date: &amp;D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A570B-50DF-43EA-ABAB-1659FD72FD51}">
  <dimension ref="B1:AC26"/>
  <sheetViews>
    <sheetView showGridLines="0" view="pageBreakPreview" zoomScaleNormal="100" zoomScaleSheetLayoutView="100" workbookViewId="0">
      <selection activeCell="C17" sqref="C17"/>
    </sheetView>
  </sheetViews>
  <sheetFormatPr defaultColWidth="9.109375" defaultRowHeight="15.6" x14ac:dyDescent="0.3"/>
  <cols>
    <col min="1" max="1" width="3.5546875" style="1" customWidth="1"/>
    <col min="2" max="4" width="4.88671875" style="1" customWidth="1"/>
    <col min="5" max="5" width="3.44140625" style="1" customWidth="1"/>
    <col min="6" max="9" width="12.44140625" style="1" customWidth="1"/>
    <col min="10" max="10" width="17.88671875" style="1" customWidth="1"/>
    <col min="11" max="11" width="3.88671875" style="1" customWidth="1"/>
    <col min="12" max="12" width="12.44140625" style="1" customWidth="1"/>
    <col min="13" max="13" width="12.44140625" style="1" hidden="1" customWidth="1"/>
    <col min="14" max="14" width="3.5546875" style="1" customWidth="1"/>
    <col min="15" max="17" width="4.88671875" style="1" customWidth="1"/>
    <col min="18" max="18" width="3.44140625" style="1" customWidth="1"/>
    <col min="19" max="22" width="12.44140625" style="1" customWidth="1"/>
    <col min="23" max="23" width="17.88671875" style="1" customWidth="1"/>
    <col min="24" max="24" width="3.88671875" style="1" customWidth="1"/>
    <col min="25" max="25" width="12.44140625" style="1" customWidth="1"/>
    <col min="26" max="26" width="11.5546875" style="30" customWidth="1"/>
    <col min="27" max="27" width="12.5546875" style="1" customWidth="1"/>
    <col min="28" max="16384" width="9.109375" style="1"/>
  </cols>
  <sheetData>
    <row r="1" spans="2:25" x14ac:dyDescent="0.3">
      <c r="N1" s="50"/>
    </row>
    <row r="2" spans="2:25" x14ac:dyDescent="0.3">
      <c r="B2" s="410" t="s">
        <v>274</v>
      </c>
      <c r="C2" s="410"/>
      <c r="D2" s="410"/>
      <c r="E2" s="410"/>
      <c r="F2" s="410"/>
      <c r="G2" s="410"/>
      <c r="H2" s="410"/>
      <c r="I2" s="410"/>
      <c r="J2" s="410"/>
      <c r="K2" s="410"/>
      <c r="L2" s="410"/>
      <c r="M2" s="230"/>
      <c r="N2" s="50"/>
      <c r="O2" s="410" t="s">
        <v>274</v>
      </c>
      <c r="P2" s="410"/>
      <c r="Q2" s="410"/>
      <c r="R2" s="410"/>
      <c r="S2" s="410"/>
      <c r="T2" s="410"/>
      <c r="U2" s="410"/>
      <c r="V2" s="410"/>
      <c r="W2" s="410"/>
      <c r="X2" s="410"/>
      <c r="Y2" s="410"/>
    </row>
    <row r="3" spans="2:25" ht="16.2" thickBot="1" x14ac:dyDescent="0.35">
      <c r="B3" s="411" t="s">
        <v>53</v>
      </c>
      <c r="C3" s="411"/>
      <c r="D3" s="411"/>
      <c r="E3" s="411"/>
      <c r="F3" s="411"/>
      <c r="G3" s="411"/>
      <c r="H3" s="411"/>
      <c r="I3" s="411"/>
      <c r="J3" s="411"/>
      <c r="K3" s="411"/>
      <c r="L3" s="411"/>
      <c r="M3" s="2"/>
      <c r="N3" s="50"/>
      <c r="O3" s="411" t="s">
        <v>54</v>
      </c>
      <c r="P3" s="411"/>
      <c r="Q3" s="411"/>
      <c r="R3" s="411"/>
      <c r="S3" s="411"/>
      <c r="T3" s="411"/>
      <c r="U3" s="411"/>
      <c r="V3" s="411"/>
      <c r="W3" s="411"/>
      <c r="X3" s="411"/>
      <c r="Y3" s="411"/>
    </row>
    <row r="4" spans="2:25" x14ac:dyDescent="0.3">
      <c r="B4" s="2"/>
      <c r="C4" s="2"/>
      <c r="D4" s="2"/>
      <c r="E4" s="2"/>
      <c r="F4" s="2"/>
      <c r="G4" s="2"/>
      <c r="H4" s="2"/>
      <c r="I4" s="2"/>
      <c r="J4" s="2"/>
      <c r="K4" s="2"/>
      <c r="L4" s="2"/>
      <c r="M4" s="2"/>
      <c r="N4" s="50"/>
      <c r="O4" s="2"/>
      <c r="P4" s="2"/>
      <c r="Q4" s="2"/>
      <c r="R4" s="2"/>
      <c r="S4" s="2"/>
      <c r="T4" s="2"/>
      <c r="U4" s="2"/>
      <c r="V4" s="2"/>
      <c r="W4" s="2"/>
      <c r="X4" s="2"/>
      <c r="Y4" s="2"/>
    </row>
    <row r="5" spans="2:25" x14ac:dyDescent="0.3">
      <c r="B5" s="2"/>
      <c r="C5" s="2"/>
      <c r="D5" s="2"/>
      <c r="F5" s="56" t="s">
        <v>0</v>
      </c>
      <c r="G5" s="21" t="str">
        <f>IF(Summary!$E$5="","",Summary!$E$5)</f>
        <v/>
      </c>
      <c r="H5" s="86"/>
      <c r="I5" s="86"/>
      <c r="J5" s="86"/>
      <c r="K5" s="86"/>
      <c r="L5" s="2"/>
      <c r="M5" s="2"/>
      <c r="N5" s="50"/>
      <c r="O5" s="2"/>
      <c r="P5" s="2"/>
      <c r="Q5" s="2"/>
      <c r="S5" s="56" t="s">
        <v>0</v>
      </c>
      <c r="T5" s="21" t="str">
        <f>IF(Summary!$S$5="","",Summary!$S$5)</f>
        <v/>
      </c>
      <c r="U5" s="86"/>
      <c r="V5" s="86"/>
      <c r="W5" s="86"/>
      <c r="X5" s="86"/>
      <c r="Y5" s="2"/>
    </row>
    <row r="6" spans="2:25" x14ac:dyDescent="0.3">
      <c r="F6" s="56" t="s">
        <v>1</v>
      </c>
      <c r="G6" s="515" t="str">
        <f>IF(Summary!E6="","",Summary!E6)</f>
        <v/>
      </c>
      <c r="H6" s="516"/>
      <c r="I6" s="516"/>
      <c r="J6" s="516"/>
      <c r="K6" s="517"/>
      <c r="N6" s="50"/>
      <c r="S6" s="56" t="s">
        <v>1</v>
      </c>
      <c r="T6" s="515" t="str">
        <f>IF(Summary!$S6="","",Summary!$S6)</f>
        <v/>
      </c>
      <c r="U6" s="516"/>
      <c r="V6" s="516"/>
      <c r="W6" s="516"/>
      <c r="X6" s="517"/>
    </row>
    <row r="7" spans="2:25" x14ac:dyDescent="0.3">
      <c r="F7" s="56"/>
      <c r="G7" s="182"/>
      <c r="H7" s="182"/>
      <c r="I7" s="86"/>
      <c r="J7" s="86"/>
      <c r="K7" s="86"/>
      <c r="N7" s="50"/>
      <c r="S7" s="56"/>
      <c r="T7" s="182"/>
      <c r="U7" s="182"/>
      <c r="V7" s="86"/>
      <c r="W7" s="86"/>
      <c r="X7" s="86"/>
    </row>
    <row r="8" spans="2:25" x14ac:dyDescent="0.3">
      <c r="F8" s="56" t="s">
        <v>47</v>
      </c>
      <c r="G8" s="518" t="str">
        <f>IF(Summary!E8="","",Summary!E8)</f>
        <v/>
      </c>
      <c r="H8" s="518"/>
      <c r="I8" s="86"/>
      <c r="J8" s="86"/>
      <c r="K8" s="86"/>
      <c r="N8" s="50"/>
      <c r="S8" s="56" t="s">
        <v>48</v>
      </c>
      <c r="T8" s="526" t="str">
        <f>IF(Summary!$S8="","",Summary!$S8)</f>
        <v/>
      </c>
      <c r="U8" s="527"/>
      <c r="V8" s="86"/>
      <c r="W8" s="86"/>
      <c r="X8" s="86"/>
    </row>
    <row r="9" spans="2:25" x14ac:dyDescent="0.3">
      <c r="F9" s="56"/>
      <c r="G9" s="84"/>
      <c r="H9" s="84"/>
      <c r="I9" s="86"/>
      <c r="J9" s="86"/>
      <c r="K9" s="86"/>
      <c r="N9" s="50"/>
      <c r="S9" s="56"/>
      <c r="T9" s="24"/>
      <c r="U9" s="25"/>
      <c r="V9" s="86"/>
      <c r="W9" s="86"/>
      <c r="X9" s="86"/>
    </row>
    <row r="10" spans="2:25" x14ac:dyDescent="0.3">
      <c r="F10" s="56" t="s">
        <v>45</v>
      </c>
      <c r="G10" s="23">
        <f>IF(C17="X",3,0)</f>
        <v>0</v>
      </c>
      <c r="H10" s="84"/>
      <c r="I10" s="86"/>
      <c r="J10" s="86"/>
      <c r="K10" s="86"/>
      <c r="N10" s="50"/>
      <c r="S10" s="56" t="s">
        <v>46</v>
      </c>
      <c r="T10" s="23">
        <f>IF(P17="X",3,0)</f>
        <v>0</v>
      </c>
      <c r="U10" s="84"/>
      <c r="V10" s="86"/>
      <c r="W10" s="86"/>
      <c r="X10" s="86"/>
    </row>
    <row r="11" spans="2:25" ht="16.2" thickBot="1" x14ac:dyDescent="0.35">
      <c r="B11" s="3"/>
      <c r="C11" s="3"/>
      <c r="D11" s="3"/>
      <c r="E11" s="3"/>
      <c r="F11" s="3"/>
      <c r="G11" s="3"/>
      <c r="H11" s="3"/>
      <c r="I11" s="3"/>
      <c r="J11" s="3"/>
      <c r="K11" s="3"/>
      <c r="L11" s="3"/>
      <c r="N11" s="50"/>
      <c r="O11" s="3"/>
      <c r="P11" s="3"/>
      <c r="Q11" s="3"/>
      <c r="R11" s="3"/>
      <c r="S11" s="3"/>
      <c r="T11" s="3"/>
      <c r="U11" s="3"/>
      <c r="V11" s="3"/>
      <c r="W11" s="3"/>
      <c r="X11" s="3"/>
      <c r="Y11" s="3"/>
    </row>
    <row r="12" spans="2:25" x14ac:dyDescent="0.3">
      <c r="N12" s="50"/>
    </row>
    <row r="13" spans="2:25" ht="108" customHeight="1" x14ac:dyDescent="0.3">
      <c r="B13" s="501" t="s">
        <v>611</v>
      </c>
      <c r="C13" s="501"/>
      <c r="D13" s="501"/>
      <c r="E13" s="501"/>
      <c r="F13" s="501"/>
      <c r="G13" s="501"/>
      <c r="H13" s="501"/>
      <c r="I13" s="501"/>
      <c r="J13" s="501"/>
      <c r="K13" s="501"/>
      <c r="L13" s="501"/>
      <c r="M13" s="131"/>
      <c r="N13" s="50"/>
      <c r="O13" s="501" t="s">
        <v>611</v>
      </c>
      <c r="P13" s="501"/>
      <c r="Q13" s="501"/>
      <c r="R13" s="501"/>
      <c r="S13" s="501"/>
      <c r="T13" s="501"/>
      <c r="U13" s="501"/>
      <c r="V13" s="501"/>
      <c r="W13" s="501"/>
      <c r="X13" s="501"/>
      <c r="Y13" s="501"/>
    </row>
    <row r="14" spans="2:25" x14ac:dyDescent="0.3">
      <c r="B14" s="338"/>
      <c r="C14" s="338"/>
      <c r="D14" s="338"/>
      <c r="E14" s="338"/>
      <c r="F14" s="338"/>
      <c r="G14" s="338"/>
      <c r="H14" s="338"/>
      <c r="I14" s="338"/>
      <c r="J14" s="338"/>
      <c r="K14" s="338"/>
      <c r="L14" s="338"/>
      <c r="M14" s="131"/>
      <c r="N14" s="50"/>
      <c r="O14" s="338"/>
      <c r="P14" s="338"/>
      <c r="Q14" s="338"/>
      <c r="R14" s="338"/>
      <c r="S14" s="338"/>
      <c r="T14" s="338"/>
      <c r="U14" s="338"/>
      <c r="V14" s="338"/>
      <c r="W14" s="338"/>
      <c r="X14" s="338"/>
      <c r="Y14" s="338"/>
    </row>
    <row r="15" spans="2:25" ht="14.25" customHeight="1" thickBot="1" x14ac:dyDescent="0.35">
      <c r="B15" s="407" t="s">
        <v>483</v>
      </c>
      <c r="C15" s="407"/>
      <c r="D15" s="407"/>
      <c r="E15" s="407"/>
      <c r="F15" s="407"/>
      <c r="G15" s="407"/>
      <c r="H15" s="407"/>
      <c r="I15" s="407"/>
      <c r="J15" s="407"/>
      <c r="K15" s="407"/>
      <c r="L15" s="407"/>
      <c r="M15" s="338"/>
      <c r="N15" s="50"/>
      <c r="O15" s="407" t="s">
        <v>483</v>
      </c>
      <c r="P15" s="407"/>
      <c r="Q15" s="407"/>
      <c r="R15" s="407"/>
      <c r="S15" s="407"/>
      <c r="T15" s="407"/>
      <c r="U15" s="407"/>
      <c r="V15" s="407"/>
      <c r="W15" s="407"/>
      <c r="X15" s="407"/>
      <c r="Y15" s="407"/>
    </row>
    <row r="16" spans="2:25" ht="20.100000000000001" customHeight="1" x14ac:dyDescent="0.3">
      <c r="B16" s="338"/>
      <c r="C16" s="338"/>
      <c r="D16" s="338"/>
      <c r="E16" s="338"/>
      <c r="F16" s="338"/>
      <c r="G16" s="338"/>
      <c r="H16" s="338"/>
      <c r="I16" s="338"/>
      <c r="J16" s="338"/>
      <c r="K16" s="338"/>
      <c r="L16" s="338"/>
      <c r="M16" s="338"/>
      <c r="N16" s="50"/>
      <c r="O16" s="338"/>
      <c r="P16" s="338"/>
      <c r="Q16" s="338"/>
      <c r="R16" s="338"/>
      <c r="S16" s="338"/>
      <c r="T16" s="338"/>
      <c r="U16" s="338"/>
      <c r="V16" s="338"/>
      <c r="W16" s="338"/>
      <c r="X16" s="338"/>
      <c r="Y16" s="338"/>
    </row>
    <row r="17" spans="2:29" ht="30.75" customHeight="1" x14ac:dyDescent="0.3">
      <c r="B17" s="340" t="str">
        <f>IF(C17="X",3,"")</f>
        <v/>
      </c>
      <c r="C17" s="394"/>
      <c r="D17" s="520" t="s">
        <v>610</v>
      </c>
      <c r="E17" s="520"/>
      <c r="F17" s="520"/>
      <c r="G17" s="520"/>
      <c r="H17" s="520"/>
      <c r="I17" s="520"/>
      <c r="J17" s="520"/>
      <c r="K17" s="520"/>
      <c r="L17" s="520"/>
      <c r="M17" s="1" t="s">
        <v>3</v>
      </c>
      <c r="N17" s="50"/>
      <c r="O17" s="340" t="str">
        <f>IF(P17="X",3,"")</f>
        <v/>
      </c>
      <c r="P17" s="395"/>
      <c r="Q17" s="520" t="s">
        <v>610</v>
      </c>
      <c r="R17" s="520"/>
      <c r="S17" s="520"/>
      <c r="T17" s="520"/>
      <c r="U17" s="520"/>
      <c r="V17" s="520"/>
      <c r="W17" s="520"/>
      <c r="X17" s="520"/>
      <c r="Y17" s="520"/>
    </row>
    <row r="18" spans="2:29" ht="20.100000000000001" customHeight="1" x14ac:dyDescent="0.3">
      <c r="B18" s="338"/>
      <c r="E18" s="11"/>
      <c r="F18" s="133"/>
      <c r="G18" s="133"/>
      <c r="H18" s="133"/>
      <c r="I18" s="133"/>
      <c r="J18" s="133"/>
      <c r="N18" s="50"/>
      <c r="O18" s="338"/>
      <c r="R18" s="11"/>
      <c r="S18" s="133"/>
      <c r="T18" s="133"/>
      <c r="U18" s="133"/>
      <c r="V18" s="133"/>
      <c r="W18" s="133"/>
    </row>
    <row r="19" spans="2:29" ht="20.100000000000001" customHeight="1" x14ac:dyDescent="0.3">
      <c r="B19" s="338"/>
      <c r="C19" s="338"/>
      <c r="E19" s="8"/>
      <c r="F19" s="133"/>
      <c r="G19" s="133"/>
      <c r="H19" s="133"/>
      <c r="I19" s="133"/>
      <c r="J19" s="133"/>
      <c r="N19" s="50"/>
      <c r="O19" s="338"/>
      <c r="P19" s="338"/>
      <c r="R19" s="8"/>
      <c r="S19" s="133"/>
      <c r="T19" s="133"/>
      <c r="U19" s="133"/>
      <c r="V19" s="133"/>
      <c r="W19" s="133"/>
      <c r="Z19" s="533"/>
      <c r="AA19" s="533"/>
    </row>
    <row r="20" spans="2:29" ht="20.100000000000001" customHeight="1" x14ac:dyDescent="0.3">
      <c r="B20" s="338"/>
      <c r="C20" s="338"/>
      <c r="D20" s="338"/>
      <c r="E20" s="338"/>
      <c r="F20" s="338"/>
      <c r="G20" s="338"/>
      <c r="H20" s="338"/>
      <c r="I20" s="338"/>
      <c r="J20" s="338"/>
      <c r="K20" s="338"/>
      <c r="L20" s="338"/>
      <c r="M20" s="338"/>
      <c r="N20" s="50"/>
      <c r="O20" s="338"/>
      <c r="P20" s="338"/>
      <c r="Q20" s="338"/>
      <c r="R20" s="338"/>
      <c r="S20" s="338"/>
      <c r="T20" s="338"/>
      <c r="U20" s="338"/>
      <c r="V20" s="338"/>
      <c r="W20" s="338"/>
      <c r="X20" s="338"/>
      <c r="Y20" s="338"/>
    </row>
    <row r="21" spans="2:29" s="8" customFormat="1" ht="12" customHeight="1" x14ac:dyDescent="0.3">
      <c r="Z21" s="31"/>
    </row>
    <row r="22" spans="2:29" s="8" customFormat="1" x14ac:dyDescent="0.3">
      <c r="Z22" s="31"/>
    </row>
    <row r="26" spans="2:29" x14ac:dyDescent="0.3">
      <c r="S26" s="9"/>
      <c r="T26" s="9"/>
      <c r="U26" s="9"/>
      <c r="V26" s="9"/>
      <c r="W26" s="9"/>
      <c r="X26" s="9"/>
      <c r="Y26" s="9"/>
      <c r="Z26" s="9"/>
      <c r="AA26" s="9"/>
      <c r="AB26" s="9"/>
      <c r="AC26" s="9"/>
    </row>
  </sheetData>
  <sheetProtection algorithmName="SHA-512" hashValue="k5nZ/OVakHM/4RhLBdvpYGz4gtLpS2QAVIAnOqdRaPUrdeNj1FeiYJEGNx1OtFRkNvC5J2pLUoRKeJ/iVdUbCw==" saltValue="lN3KG6lHWjFTI6RlB2McMA==" spinCount="100000" sheet="1" objects="1" scenarios="1" selectLockedCells="1"/>
  <protectedRanges>
    <protectedRange sqref="C17" name="Range1"/>
  </protectedRanges>
  <mergeCells count="15">
    <mergeCell ref="D17:L17"/>
    <mergeCell ref="Q17:Y17"/>
    <mergeCell ref="Z19:AA19"/>
    <mergeCell ref="G8:H8"/>
    <mergeCell ref="T8:U8"/>
    <mergeCell ref="B13:L13"/>
    <mergeCell ref="O13:Y13"/>
    <mergeCell ref="B15:L15"/>
    <mergeCell ref="O15:Y15"/>
    <mergeCell ref="B2:L2"/>
    <mergeCell ref="O2:Y2"/>
    <mergeCell ref="B3:L3"/>
    <mergeCell ref="O3:Y3"/>
    <mergeCell ref="G6:K6"/>
    <mergeCell ref="T6:X6"/>
  </mergeCells>
  <dataValidations count="1">
    <dataValidation type="list" operator="greaterThanOrEqual" showInputMessage="1" showErrorMessage="1" sqref="C17 P17" xr:uid="{3FBE1AFA-171C-4AD9-8CC2-518F6E82C8BE}">
      <formula1>$M$16:$M$17</formula1>
    </dataValidation>
  </dataValidations>
  <pageMargins left="0.7" right="0.7" top="0.75" bottom="0.75" header="0.3" footer="0.3"/>
  <pageSetup scale="69" fitToHeight="3" orientation="portrait" r:id="rId1"/>
  <headerFooter>
    <oddFooter>&amp;CTab: &amp;A&amp;RPrint Date: &amp;D</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B1:AB44"/>
  <sheetViews>
    <sheetView showGridLines="0" view="pageBreakPreview" topLeftCell="A6" zoomScaleNormal="100" zoomScaleSheetLayoutView="100" workbookViewId="0">
      <selection activeCell="H18" sqref="H18"/>
    </sheetView>
  </sheetViews>
  <sheetFormatPr defaultColWidth="9.109375" defaultRowHeight="15.6" x14ac:dyDescent="0.3"/>
  <cols>
    <col min="1" max="1" width="3.5546875" style="1" customWidth="1"/>
    <col min="2" max="2" width="9.109375" style="30" hidden="1" customWidth="1"/>
    <col min="3" max="3" width="6.6640625" style="185" hidden="1" customWidth="1"/>
    <col min="4" max="5" width="4.88671875" style="1" customWidth="1"/>
    <col min="6" max="8" width="12.44140625" style="1" customWidth="1"/>
    <col min="9" max="9" width="14.44140625" style="1" customWidth="1"/>
    <col min="10" max="10" width="12.44140625" style="1" customWidth="1"/>
    <col min="11" max="11" width="14" style="1" customWidth="1"/>
    <col min="12" max="13" width="12.44140625" style="1" customWidth="1"/>
    <col min="14" max="14" width="3.5546875" style="1" customWidth="1"/>
    <col min="15" max="15" width="9.109375" style="30" hidden="1" customWidth="1"/>
    <col min="16" max="16" width="9.109375" style="185" hidden="1" customWidth="1"/>
    <col min="17" max="18" width="4.88671875" style="1" customWidth="1"/>
    <col min="19" max="21" width="12.44140625" style="1" customWidth="1"/>
    <col min="22" max="22" width="14.44140625" style="1" customWidth="1"/>
    <col min="23" max="23" width="12.44140625" style="1" customWidth="1"/>
    <col min="24" max="24" width="14" style="1" customWidth="1"/>
    <col min="25" max="26" width="12.44140625" style="1" customWidth="1"/>
    <col min="27" max="27" width="9.109375" style="1" customWidth="1"/>
    <col min="28" max="16384" width="9.109375" style="1"/>
  </cols>
  <sheetData>
    <row r="1" spans="2:26" x14ac:dyDescent="0.3">
      <c r="N1" s="50"/>
    </row>
    <row r="2" spans="2:26" x14ac:dyDescent="0.3">
      <c r="B2" s="1"/>
      <c r="C2" s="1"/>
      <c r="D2" s="410" t="s">
        <v>147</v>
      </c>
      <c r="E2" s="410"/>
      <c r="F2" s="410"/>
      <c r="G2" s="410"/>
      <c r="H2" s="410"/>
      <c r="I2" s="410"/>
      <c r="J2" s="410"/>
      <c r="K2" s="410"/>
      <c r="L2" s="410"/>
      <c r="M2" s="410"/>
      <c r="N2" s="50"/>
      <c r="Q2" s="410" t="s">
        <v>147</v>
      </c>
      <c r="R2" s="410"/>
      <c r="S2" s="410"/>
      <c r="T2" s="410"/>
      <c r="U2" s="410"/>
      <c r="V2" s="410"/>
      <c r="W2" s="410"/>
      <c r="X2" s="410"/>
      <c r="Y2" s="410"/>
      <c r="Z2" s="410"/>
    </row>
    <row r="3" spans="2:26" ht="16.5" customHeight="1" thickBot="1" x14ac:dyDescent="0.35">
      <c r="B3" s="1"/>
      <c r="C3" s="1"/>
      <c r="D3" s="411" t="s">
        <v>53</v>
      </c>
      <c r="E3" s="411"/>
      <c r="F3" s="411"/>
      <c r="G3" s="411"/>
      <c r="H3" s="411"/>
      <c r="I3" s="411"/>
      <c r="J3" s="411"/>
      <c r="K3" s="411"/>
      <c r="L3" s="411"/>
      <c r="M3" s="411"/>
      <c r="N3" s="50"/>
      <c r="Q3" s="411" t="s">
        <v>54</v>
      </c>
      <c r="R3" s="411"/>
      <c r="S3" s="411"/>
      <c r="T3" s="411"/>
      <c r="U3" s="411"/>
      <c r="V3" s="411"/>
      <c r="W3" s="411"/>
      <c r="X3" s="411"/>
      <c r="Y3" s="411"/>
      <c r="Z3" s="411"/>
    </row>
    <row r="4" spans="2:26" x14ac:dyDescent="0.3">
      <c r="B4" s="1"/>
      <c r="C4" s="1"/>
      <c r="D4" s="2"/>
      <c r="E4" s="2"/>
      <c r="F4" s="2"/>
      <c r="G4" s="2"/>
      <c r="H4" s="2"/>
      <c r="I4" s="2"/>
      <c r="J4" s="2"/>
      <c r="K4" s="2"/>
      <c r="L4" s="2"/>
      <c r="M4" s="2"/>
      <c r="N4" s="50"/>
      <c r="Q4" s="2"/>
      <c r="R4" s="2"/>
      <c r="S4" s="2"/>
      <c r="T4" s="2"/>
      <c r="U4" s="2"/>
      <c r="V4" s="2"/>
      <c r="W4" s="2"/>
      <c r="X4" s="2"/>
      <c r="Y4" s="2"/>
      <c r="Z4" s="2"/>
    </row>
    <row r="5" spans="2:26" x14ac:dyDescent="0.3">
      <c r="B5" s="1"/>
      <c r="C5" s="1"/>
      <c r="D5" s="2"/>
      <c r="E5" s="2"/>
      <c r="G5" s="56" t="s">
        <v>0</v>
      </c>
      <c r="H5" s="21" t="str">
        <f>IF(Summary!$E$5="","",Summary!$E$5)</f>
        <v/>
      </c>
      <c r="I5" s="86"/>
      <c r="J5" s="86"/>
      <c r="K5" s="86"/>
      <c r="L5" s="86"/>
      <c r="M5" s="2"/>
      <c r="N5" s="50"/>
      <c r="Q5" s="2"/>
      <c r="R5" s="2"/>
      <c r="T5" s="56" t="s">
        <v>0</v>
      </c>
      <c r="U5" s="21" t="str">
        <f>IF(Summary!$S$5="","",Summary!$S$5)</f>
        <v/>
      </c>
      <c r="V5" s="86"/>
      <c r="W5" s="86"/>
      <c r="X5" s="86"/>
      <c r="Y5" s="86"/>
      <c r="Z5" s="2"/>
    </row>
    <row r="6" spans="2:26" x14ac:dyDescent="0.3">
      <c r="B6" s="1"/>
      <c r="C6" s="1"/>
      <c r="G6" s="56" t="s">
        <v>1</v>
      </c>
      <c r="H6" s="515" t="str">
        <f>IF(Summary!E6="","",Summary!E6)</f>
        <v/>
      </c>
      <c r="I6" s="516"/>
      <c r="J6" s="516"/>
      <c r="K6" s="516"/>
      <c r="L6" s="517"/>
      <c r="N6" s="50"/>
      <c r="T6" s="56" t="s">
        <v>1</v>
      </c>
      <c r="U6" s="515" t="str">
        <f>IF(Summary!$S6="","",Summary!$S6)</f>
        <v/>
      </c>
      <c r="V6" s="516"/>
      <c r="W6" s="516"/>
      <c r="X6" s="516"/>
      <c r="Y6" s="517"/>
    </row>
    <row r="7" spans="2:26" x14ac:dyDescent="0.3">
      <c r="B7" s="1"/>
      <c r="C7" s="1"/>
      <c r="G7" s="56"/>
      <c r="H7" s="182"/>
      <c r="I7" s="182"/>
      <c r="J7" s="86"/>
      <c r="K7" s="86"/>
      <c r="L7" s="86"/>
      <c r="N7" s="50"/>
      <c r="T7" s="56"/>
      <c r="U7" s="182"/>
      <c r="V7" s="182"/>
      <c r="W7" s="86"/>
      <c r="X7" s="86"/>
      <c r="Y7" s="86"/>
    </row>
    <row r="8" spans="2:26" x14ac:dyDescent="0.3">
      <c r="B8" s="1"/>
      <c r="C8" s="1"/>
      <c r="G8" s="56" t="s">
        <v>48</v>
      </c>
      <c r="H8" s="518" t="str">
        <f>IF(Summary!E8="","",Summary!E8)</f>
        <v/>
      </c>
      <c r="I8" s="518"/>
      <c r="J8" s="86"/>
      <c r="K8" s="86"/>
      <c r="L8" s="86"/>
      <c r="N8" s="50"/>
      <c r="T8" s="56" t="s">
        <v>48</v>
      </c>
      <c r="U8" s="526" t="str">
        <f>IF(Summary!$S8="","",Summary!$S8)</f>
        <v/>
      </c>
      <c r="V8" s="527"/>
      <c r="W8" s="86"/>
      <c r="X8" s="86"/>
      <c r="Y8" s="86"/>
    </row>
    <row r="9" spans="2:26" x14ac:dyDescent="0.3">
      <c r="B9" s="1"/>
      <c r="C9" s="1"/>
      <c r="G9" s="56"/>
      <c r="H9" s="84"/>
      <c r="I9" s="84"/>
      <c r="J9" s="86"/>
      <c r="K9" s="86"/>
      <c r="L9" s="86"/>
      <c r="N9" s="50"/>
      <c r="T9" s="56"/>
      <c r="U9" s="84"/>
      <c r="V9" s="84"/>
      <c r="W9" s="86"/>
      <c r="X9" s="86"/>
      <c r="Y9" s="86"/>
    </row>
    <row r="10" spans="2:26" x14ac:dyDescent="0.3">
      <c r="B10" s="1"/>
      <c r="C10" s="1"/>
      <c r="G10" s="56" t="s">
        <v>45</v>
      </c>
      <c r="H10" s="23">
        <f>IF(AND(B29&gt;0,B33=0),SUM(B29),IF(AND(B29=0,B33&gt;0),SUM(B33),MIN(B29,B33)))</f>
        <v>0</v>
      </c>
      <c r="I10" s="84"/>
      <c r="J10" s="86"/>
      <c r="K10" s="86"/>
      <c r="L10" s="86"/>
      <c r="N10" s="50"/>
      <c r="T10" s="56" t="s">
        <v>46</v>
      </c>
      <c r="U10" s="23">
        <f>IF(AND(O29&gt;0,O33=0),SUM(O29),IF(AND(O29=0,O33&gt;0),SUM(O33),MIN(O29,O33)))</f>
        <v>0</v>
      </c>
      <c r="V10" s="84"/>
      <c r="W10" s="86"/>
      <c r="X10" s="86"/>
      <c r="Y10" s="86"/>
    </row>
    <row r="11" spans="2:26" ht="16.2" thickBot="1" x14ac:dyDescent="0.35">
      <c r="B11" s="1"/>
      <c r="C11" s="1"/>
      <c r="D11" s="3"/>
      <c r="E11" s="3"/>
      <c r="F11" s="3"/>
      <c r="G11" s="3"/>
      <c r="H11" s="3"/>
      <c r="I11" s="3"/>
      <c r="J11" s="3"/>
      <c r="K11" s="3"/>
      <c r="L11" s="3"/>
      <c r="M11" s="3"/>
      <c r="N11" s="50"/>
      <c r="Q11" s="3"/>
      <c r="R11" s="3"/>
      <c r="S11" s="3"/>
      <c r="T11" s="3"/>
      <c r="U11" s="3"/>
      <c r="V11" s="3"/>
      <c r="W11" s="3"/>
      <c r="X11" s="3"/>
      <c r="Y11" s="3"/>
      <c r="Z11" s="3"/>
    </row>
    <row r="12" spans="2:26" x14ac:dyDescent="0.3">
      <c r="N12" s="50"/>
    </row>
    <row r="13" spans="2:26" ht="48.75" customHeight="1" x14ac:dyDescent="0.3">
      <c r="B13" s="1"/>
      <c r="C13" s="1"/>
      <c r="D13" s="434" t="s">
        <v>563</v>
      </c>
      <c r="E13" s="539"/>
      <c r="F13" s="539"/>
      <c r="G13" s="539"/>
      <c r="H13" s="539"/>
      <c r="I13" s="539"/>
      <c r="J13" s="539"/>
      <c r="K13" s="539"/>
      <c r="L13" s="539"/>
      <c r="M13" s="539"/>
      <c r="N13" s="50"/>
      <c r="Q13" s="434" t="s">
        <v>563</v>
      </c>
      <c r="R13" s="539"/>
      <c r="S13" s="539"/>
      <c r="T13" s="539"/>
      <c r="U13" s="539"/>
      <c r="V13" s="539"/>
      <c r="W13" s="539"/>
      <c r="X13" s="539"/>
      <c r="Y13" s="539"/>
      <c r="Z13" s="539"/>
    </row>
    <row r="14" spans="2:26" x14ac:dyDescent="0.3">
      <c r="B14" s="1"/>
      <c r="C14" s="1"/>
      <c r="D14" s="86"/>
      <c r="E14" s="86"/>
      <c r="F14" s="86"/>
      <c r="G14" s="86"/>
      <c r="H14" s="86"/>
      <c r="I14" s="86"/>
      <c r="J14" s="86"/>
      <c r="K14" s="86"/>
      <c r="L14" s="86"/>
      <c r="M14" s="86"/>
      <c r="N14" s="50"/>
      <c r="Q14" s="86"/>
      <c r="R14" s="86"/>
      <c r="S14" s="86"/>
      <c r="T14" s="86"/>
      <c r="U14" s="86"/>
      <c r="V14" s="86"/>
      <c r="W14" s="86"/>
      <c r="X14" s="86"/>
      <c r="Y14" s="86"/>
      <c r="Z14" s="86"/>
    </row>
    <row r="15" spans="2:26" x14ac:dyDescent="0.3">
      <c r="D15" s="534" t="str">
        <f>IF(L24&gt;0,IF(L24&lt;&gt;Summary!K8,"ERROR! Discrepancy with Total Project Units",""),"")</f>
        <v/>
      </c>
      <c r="E15" s="534"/>
      <c r="F15" s="534"/>
      <c r="G15" s="534"/>
      <c r="H15" s="534"/>
      <c r="I15" s="534"/>
      <c r="J15" s="534"/>
      <c r="K15" s="534"/>
      <c r="L15" s="534"/>
      <c r="M15" s="534"/>
      <c r="N15" s="50"/>
      <c r="Q15" s="534" t="str">
        <f>IF(Y24&gt;0,IF(Y24&lt;&gt;Summary!Y8,"ERROR! Discrepancy with Total Project Units",""),"")</f>
        <v/>
      </c>
      <c r="R15" s="534"/>
      <c r="S15" s="534"/>
      <c r="T15" s="534"/>
      <c r="U15" s="534"/>
      <c r="V15" s="534"/>
      <c r="W15" s="534"/>
      <c r="X15" s="534"/>
      <c r="Y15" s="534"/>
      <c r="Z15" s="534"/>
    </row>
    <row r="16" spans="2:26" x14ac:dyDescent="0.3">
      <c r="N16" s="50"/>
    </row>
    <row r="17" spans="2:28" x14ac:dyDescent="0.3">
      <c r="F17" s="540" t="s">
        <v>5</v>
      </c>
      <c r="G17" s="541"/>
      <c r="H17" s="468" t="s">
        <v>6</v>
      </c>
      <c r="I17" s="468"/>
      <c r="J17" s="468" t="s">
        <v>7</v>
      </c>
      <c r="K17" s="468"/>
      <c r="L17" s="468" t="s">
        <v>4</v>
      </c>
      <c r="M17" s="468"/>
      <c r="N17" s="50"/>
      <c r="S17" s="540" t="s">
        <v>5</v>
      </c>
      <c r="T17" s="541"/>
      <c r="U17" s="468" t="s">
        <v>6</v>
      </c>
      <c r="V17" s="468"/>
      <c r="W17" s="468" t="s">
        <v>7</v>
      </c>
      <c r="X17" s="468"/>
      <c r="Y17" s="468" t="s">
        <v>4</v>
      </c>
      <c r="Z17" s="468"/>
    </row>
    <row r="18" spans="2:28" x14ac:dyDescent="0.3">
      <c r="F18" s="538" t="s">
        <v>8</v>
      </c>
      <c r="G18" s="538"/>
      <c r="H18" s="34"/>
      <c r="I18" s="10">
        <f t="shared" ref="I18:I23" si="0">IF(H$24&gt;0,H18/H$24,0%)</f>
        <v>0</v>
      </c>
      <c r="J18" s="34"/>
      <c r="K18" s="10">
        <f t="shared" ref="K18:K23" si="1">IF(J$24&gt;0,J18/J$24,0%)</f>
        <v>0</v>
      </c>
      <c r="L18" s="5">
        <f t="shared" ref="L18:L23" si="2">J18+H18</f>
        <v>0</v>
      </c>
      <c r="M18" s="10">
        <f t="shared" ref="M18:M23" si="3">IF(L$24&gt;0,L18/L$24,0%)</f>
        <v>0</v>
      </c>
      <c r="N18" s="50"/>
      <c r="S18" s="538" t="s">
        <v>8</v>
      </c>
      <c r="T18" s="538"/>
      <c r="U18" s="78"/>
      <c r="V18" s="10">
        <f t="shared" ref="V18:V23" si="4">IF(U$24&gt;0,U18/U$24,0%)</f>
        <v>0</v>
      </c>
      <c r="W18" s="78"/>
      <c r="X18" s="10">
        <f t="shared" ref="X18:X23" si="5">IF(W$24&gt;0,W18/W$24,0%)</f>
        <v>0</v>
      </c>
      <c r="Y18" s="5">
        <f t="shared" ref="Y18:Y23" si="6">W18+U18</f>
        <v>0</v>
      </c>
      <c r="Z18" s="10">
        <f t="shared" ref="Z18:Z23" si="7">IF(Y$24&gt;0,Y18/Y$24,0%)</f>
        <v>0</v>
      </c>
      <c r="AB18" s="13"/>
    </row>
    <row r="19" spans="2:28" x14ac:dyDescent="0.3">
      <c r="F19" s="538" t="s">
        <v>9</v>
      </c>
      <c r="G19" s="538"/>
      <c r="H19" s="34"/>
      <c r="I19" s="10">
        <f t="shared" si="0"/>
        <v>0</v>
      </c>
      <c r="J19" s="34"/>
      <c r="K19" s="10">
        <f t="shared" si="1"/>
        <v>0</v>
      </c>
      <c r="L19" s="5">
        <f t="shared" si="2"/>
        <v>0</v>
      </c>
      <c r="M19" s="10">
        <f t="shared" si="3"/>
        <v>0</v>
      </c>
      <c r="N19" s="50"/>
      <c r="S19" s="538" t="s">
        <v>9</v>
      </c>
      <c r="T19" s="538"/>
      <c r="U19" s="78"/>
      <c r="V19" s="10">
        <f>IF(U$24&gt;0,U19/U$24,0%)</f>
        <v>0</v>
      </c>
      <c r="W19" s="78"/>
      <c r="X19" s="10">
        <f t="shared" si="5"/>
        <v>0</v>
      </c>
      <c r="Y19" s="5">
        <f t="shared" si="6"/>
        <v>0</v>
      </c>
      <c r="Z19" s="10">
        <f t="shared" si="7"/>
        <v>0</v>
      </c>
      <c r="AB19" s="13"/>
    </row>
    <row r="20" spans="2:28" x14ac:dyDescent="0.3">
      <c r="F20" s="538" t="s">
        <v>10</v>
      </c>
      <c r="G20" s="538"/>
      <c r="H20" s="34"/>
      <c r="I20" s="10">
        <f t="shared" si="0"/>
        <v>0</v>
      </c>
      <c r="J20" s="34"/>
      <c r="K20" s="10">
        <f t="shared" si="1"/>
        <v>0</v>
      </c>
      <c r="L20" s="5">
        <f t="shared" si="2"/>
        <v>0</v>
      </c>
      <c r="M20" s="10">
        <f t="shared" si="3"/>
        <v>0</v>
      </c>
      <c r="N20" s="50"/>
      <c r="S20" s="538" t="s">
        <v>10</v>
      </c>
      <c r="T20" s="538"/>
      <c r="U20" s="78"/>
      <c r="V20" s="10">
        <f t="shared" si="4"/>
        <v>0</v>
      </c>
      <c r="W20" s="78"/>
      <c r="X20" s="10">
        <f t="shared" si="5"/>
        <v>0</v>
      </c>
      <c r="Y20" s="5">
        <f t="shared" si="6"/>
        <v>0</v>
      </c>
      <c r="Z20" s="10">
        <f t="shared" si="7"/>
        <v>0</v>
      </c>
      <c r="AB20" s="13"/>
    </row>
    <row r="21" spans="2:28" x14ac:dyDescent="0.3">
      <c r="F21" s="538" t="s">
        <v>11</v>
      </c>
      <c r="G21" s="538"/>
      <c r="H21" s="34"/>
      <c r="I21" s="10">
        <f t="shared" si="0"/>
        <v>0</v>
      </c>
      <c r="J21" s="34"/>
      <c r="K21" s="10">
        <f t="shared" si="1"/>
        <v>0</v>
      </c>
      <c r="L21" s="5">
        <f t="shared" si="2"/>
        <v>0</v>
      </c>
      <c r="M21" s="10">
        <f t="shared" si="3"/>
        <v>0</v>
      </c>
      <c r="N21" s="50"/>
      <c r="S21" s="538" t="s">
        <v>11</v>
      </c>
      <c r="T21" s="538"/>
      <c r="U21" s="78"/>
      <c r="V21" s="10">
        <f t="shared" si="4"/>
        <v>0</v>
      </c>
      <c r="W21" s="78"/>
      <c r="X21" s="10">
        <f t="shared" si="5"/>
        <v>0</v>
      </c>
      <c r="Y21" s="5">
        <f t="shared" si="6"/>
        <v>0</v>
      </c>
      <c r="Z21" s="10">
        <f t="shared" si="7"/>
        <v>0</v>
      </c>
      <c r="AB21" s="13"/>
    </row>
    <row r="22" spans="2:28" x14ac:dyDescent="0.3">
      <c r="F22" s="538" t="s">
        <v>12</v>
      </c>
      <c r="G22" s="538"/>
      <c r="H22" s="34"/>
      <c r="I22" s="10">
        <f t="shared" si="0"/>
        <v>0</v>
      </c>
      <c r="J22" s="34"/>
      <c r="K22" s="10">
        <f t="shared" si="1"/>
        <v>0</v>
      </c>
      <c r="L22" s="5">
        <f t="shared" si="2"/>
        <v>0</v>
      </c>
      <c r="M22" s="10">
        <f t="shared" si="3"/>
        <v>0</v>
      </c>
      <c r="N22" s="50"/>
      <c r="S22" s="538" t="s">
        <v>12</v>
      </c>
      <c r="T22" s="538"/>
      <c r="U22" s="78"/>
      <c r="V22" s="10">
        <f t="shared" si="4"/>
        <v>0</v>
      </c>
      <c r="W22" s="78"/>
      <c r="X22" s="10">
        <f t="shared" si="5"/>
        <v>0</v>
      </c>
      <c r="Y22" s="5">
        <f t="shared" si="6"/>
        <v>0</v>
      </c>
      <c r="Z22" s="10">
        <f t="shared" si="7"/>
        <v>0</v>
      </c>
      <c r="AB22" s="13"/>
    </row>
    <row r="23" spans="2:28" x14ac:dyDescent="0.3">
      <c r="F23" s="538" t="s">
        <v>13</v>
      </c>
      <c r="G23" s="538"/>
      <c r="H23" s="34"/>
      <c r="I23" s="10">
        <f t="shared" si="0"/>
        <v>0</v>
      </c>
      <c r="J23" s="34"/>
      <c r="K23" s="10">
        <f t="shared" si="1"/>
        <v>0</v>
      </c>
      <c r="L23" s="5">
        <f t="shared" si="2"/>
        <v>0</v>
      </c>
      <c r="M23" s="10">
        <f t="shared" si="3"/>
        <v>0</v>
      </c>
      <c r="N23" s="50"/>
      <c r="S23" s="538" t="s">
        <v>13</v>
      </c>
      <c r="T23" s="538"/>
      <c r="U23" s="78"/>
      <c r="V23" s="10">
        <f t="shared" si="4"/>
        <v>0</v>
      </c>
      <c r="W23" s="78"/>
      <c r="X23" s="10">
        <f t="shared" si="5"/>
        <v>0</v>
      </c>
      <c r="Y23" s="5">
        <f t="shared" si="6"/>
        <v>0</v>
      </c>
      <c r="Z23" s="10">
        <f t="shared" si="7"/>
        <v>0</v>
      </c>
      <c r="AB23" s="13"/>
    </row>
    <row r="24" spans="2:28" x14ac:dyDescent="0.3">
      <c r="D24" s="11"/>
      <c r="E24" s="11"/>
      <c r="F24" s="464" t="s">
        <v>4</v>
      </c>
      <c r="G24" s="464"/>
      <c r="H24" s="6">
        <f t="shared" ref="H24:M24" si="8">SUM(H18:H23)</f>
        <v>0</v>
      </c>
      <c r="I24" s="12">
        <f t="shared" si="8"/>
        <v>0</v>
      </c>
      <c r="J24" s="6">
        <f t="shared" si="8"/>
        <v>0</v>
      </c>
      <c r="K24" s="12">
        <f t="shared" si="8"/>
        <v>0</v>
      </c>
      <c r="L24" s="6">
        <f t="shared" si="8"/>
        <v>0</v>
      </c>
      <c r="M24" s="12">
        <f t="shared" si="8"/>
        <v>0</v>
      </c>
      <c r="N24" s="50"/>
      <c r="Q24" s="11"/>
      <c r="R24" s="11"/>
      <c r="S24" s="464" t="s">
        <v>4</v>
      </c>
      <c r="T24" s="464"/>
      <c r="U24" s="6">
        <f t="shared" ref="U24:Z24" si="9">SUM(U18:U23)</f>
        <v>0</v>
      </c>
      <c r="V24" s="12">
        <f t="shared" si="9"/>
        <v>0</v>
      </c>
      <c r="W24" s="6">
        <f t="shared" si="9"/>
        <v>0</v>
      </c>
      <c r="X24" s="12">
        <f t="shared" si="9"/>
        <v>0</v>
      </c>
      <c r="Y24" s="6">
        <f t="shared" si="9"/>
        <v>0</v>
      </c>
      <c r="Z24" s="12">
        <f t="shared" si="9"/>
        <v>0</v>
      </c>
    </row>
    <row r="25" spans="2:28" x14ac:dyDescent="0.3">
      <c r="D25" s="11"/>
      <c r="E25" s="11"/>
      <c r="F25" s="168"/>
      <c r="G25" s="168"/>
      <c r="H25" s="36"/>
      <c r="I25" s="37"/>
      <c r="J25" s="36"/>
      <c r="K25" s="37"/>
      <c r="L25" s="36"/>
      <c r="M25" s="35"/>
      <c r="N25" s="50"/>
      <c r="Q25" s="11"/>
      <c r="R25" s="11"/>
      <c r="S25" s="168"/>
      <c r="T25" s="168"/>
      <c r="U25" s="36"/>
      <c r="V25" s="37"/>
      <c r="W25" s="36"/>
      <c r="X25" s="37"/>
      <c r="Y25" s="36"/>
      <c r="Z25" s="35"/>
    </row>
    <row r="26" spans="2:28" ht="16.2" thickBot="1" x14ac:dyDescent="0.35">
      <c r="D26" s="407" t="s">
        <v>57</v>
      </c>
      <c r="E26" s="407"/>
      <c r="F26" s="407"/>
      <c r="G26" s="407"/>
      <c r="H26" s="407"/>
      <c r="I26" s="407"/>
      <c r="J26" s="407"/>
      <c r="K26" s="407"/>
      <c r="L26" s="407"/>
      <c r="M26" s="407"/>
      <c r="N26" s="50"/>
      <c r="Q26" s="407" t="s">
        <v>57</v>
      </c>
      <c r="R26" s="407"/>
      <c r="S26" s="407"/>
      <c r="T26" s="407"/>
      <c r="U26" s="407"/>
      <c r="V26" s="407"/>
      <c r="W26" s="407"/>
      <c r="X26" s="407"/>
      <c r="Y26" s="407"/>
      <c r="Z26" s="407"/>
    </row>
    <row r="27" spans="2:28" x14ac:dyDescent="0.3">
      <c r="B27" s="342" t="s">
        <v>56</v>
      </c>
      <c r="C27" s="342" t="s">
        <v>52</v>
      </c>
      <c r="D27" s="11"/>
      <c r="E27" s="11"/>
      <c r="F27" s="168"/>
      <c r="G27" s="168"/>
      <c r="H27" s="9"/>
      <c r="I27" s="35"/>
      <c r="J27" s="9"/>
      <c r="K27" s="35"/>
      <c r="L27" s="9"/>
      <c r="M27" s="35"/>
      <c r="N27" s="50"/>
      <c r="O27" s="342" t="s">
        <v>56</v>
      </c>
      <c r="P27" s="342" t="s">
        <v>52</v>
      </c>
      <c r="Q27" s="11"/>
      <c r="R27" s="11"/>
      <c r="S27" s="168"/>
      <c r="T27" s="168"/>
      <c r="U27" s="9"/>
      <c r="V27" s="35"/>
      <c r="W27" s="9"/>
      <c r="X27" s="35"/>
      <c r="Y27" s="9"/>
      <c r="Z27" s="35"/>
    </row>
    <row r="28" spans="2:28" ht="15.75" customHeight="1" x14ac:dyDescent="0.3">
      <c r="D28" s="521" t="s">
        <v>14</v>
      </c>
      <c r="E28" s="521"/>
      <c r="F28" s="521"/>
      <c r="G28" s="521"/>
      <c r="H28" s="521"/>
      <c r="I28" s="521"/>
      <c r="J28" s="521"/>
      <c r="K28" s="521"/>
      <c r="L28" s="521"/>
      <c r="M28" s="521"/>
      <c r="N28" s="50"/>
      <c r="Q28" s="521" t="s">
        <v>14</v>
      </c>
      <c r="R28" s="521"/>
      <c r="S28" s="521"/>
      <c r="T28" s="521"/>
      <c r="U28" s="521"/>
      <c r="V28" s="521"/>
      <c r="W28" s="521"/>
      <c r="X28" s="521"/>
      <c r="Y28" s="521"/>
      <c r="Z28" s="521"/>
    </row>
    <row r="29" spans="2:28" x14ac:dyDescent="0.3">
      <c r="B29" s="535" t="str">
        <f>IF(H24&gt;0,SUM(D29:D30),"")</f>
        <v/>
      </c>
      <c r="C29" s="186">
        <v>1</v>
      </c>
      <c r="D29" s="341" t="str">
        <f>IF(E29="X",C29,"")</f>
        <v/>
      </c>
      <c r="E29" s="345" t="str">
        <f>IF(I20&gt;=F29,IF(I20&lt;F30,"X",""),"")</f>
        <v/>
      </c>
      <c r="F29" s="46">
        <v>0.01</v>
      </c>
      <c r="G29" s="111">
        <v>9.9000000000000005E-2</v>
      </c>
      <c r="H29" s="172"/>
      <c r="I29" s="172"/>
      <c r="J29" s="172"/>
      <c r="K29" s="172"/>
      <c r="L29" s="172"/>
      <c r="M29" s="173"/>
      <c r="N29" s="50"/>
      <c r="O29" s="535" t="str">
        <f>IF(U24&gt;0,SUM(Q29:Q30),"")</f>
        <v/>
      </c>
      <c r="P29" s="186">
        <v>1</v>
      </c>
      <c r="Q29" s="341" t="str">
        <f>IF(R29="X",P29,"")</f>
        <v/>
      </c>
      <c r="R29" s="345" t="str">
        <f>IF(V20&gt;=S29,IF(V20&lt;S30,"X",""),"")</f>
        <v/>
      </c>
      <c r="S29" s="46">
        <v>0.01</v>
      </c>
      <c r="T29" s="111">
        <v>9.9000000000000005E-2</v>
      </c>
      <c r="U29" s="172"/>
      <c r="V29" s="172"/>
      <c r="W29" s="172"/>
      <c r="X29" s="172"/>
      <c r="Y29" s="172"/>
      <c r="Z29" s="173"/>
    </row>
    <row r="30" spans="2:28" x14ac:dyDescent="0.3">
      <c r="B30" s="536"/>
      <c r="C30" s="186">
        <v>2</v>
      </c>
      <c r="D30" s="341" t="str">
        <f>IF(E30="X",C30,"")</f>
        <v/>
      </c>
      <c r="E30" s="345" t="str">
        <f>IF(I20&gt;=F30,IF(I20&lt;=G30,"X",""),"")</f>
        <v/>
      </c>
      <c r="F30" s="46">
        <v>0.1</v>
      </c>
      <c r="G30" s="44">
        <v>0.25</v>
      </c>
      <c r="H30" s="172"/>
      <c r="I30" s="172"/>
      <c r="J30" s="172"/>
      <c r="K30" s="172"/>
      <c r="L30" s="172"/>
      <c r="M30" s="173"/>
      <c r="N30" s="50"/>
      <c r="O30" s="536"/>
      <c r="P30" s="186">
        <v>2</v>
      </c>
      <c r="Q30" s="341" t="str">
        <f>IF(R30="X",P30,"")</f>
        <v/>
      </c>
      <c r="R30" s="345" t="str">
        <f>IF(V20&gt;=S30,IF(V20&lt;=T30,"X",""),"")</f>
        <v/>
      </c>
      <c r="S30" s="46">
        <v>0.1</v>
      </c>
      <c r="T30" s="42">
        <v>0.25</v>
      </c>
      <c r="U30" s="43"/>
      <c r="V30" s="43"/>
      <c r="W30" s="43"/>
      <c r="X30" s="43"/>
      <c r="Y30" s="43"/>
      <c r="Z30" s="47"/>
    </row>
    <row r="31" spans="2:28" x14ac:dyDescent="0.3">
      <c r="E31" s="230"/>
      <c r="F31" s="38"/>
      <c r="G31" s="38"/>
      <c r="N31" s="50"/>
      <c r="R31" s="230"/>
      <c r="S31" s="38"/>
      <c r="T31" s="38"/>
    </row>
    <row r="32" spans="2:28" ht="15.75" customHeight="1" x14ac:dyDescent="0.3">
      <c r="D32" s="522" t="s">
        <v>15</v>
      </c>
      <c r="E32" s="522"/>
      <c r="F32" s="522"/>
      <c r="G32" s="522"/>
      <c r="H32" s="522"/>
      <c r="I32" s="522"/>
      <c r="J32" s="522"/>
      <c r="K32" s="522"/>
      <c r="L32" s="522"/>
      <c r="M32" s="522"/>
      <c r="N32" s="50"/>
      <c r="Q32" s="521" t="s">
        <v>15</v>
      </c>
      <c r="R32" s="521"/>
      <c r="S32" s="521"/>
      <c r="T32" s="521"/>
      <c r="U32" s="521"/>
      <c r="V32" s="521"/>
      <c r="W32" s="521"/>
      <c r="X32" s="521"/>
      <c r="Y32" s="521"/>
      <c r="Z32" s="521"/>
    </row>
    <row r="33" spans="2:26" x14ac:dyDescent="0.3">
      <c r="B33" s="535" t="str">
        <f>IF(J24&gt;0,SUM(D33:D34),"")</f>
        <v/>
      </c>
      <c r="C33" s="186">
        <v>1</v>
      </c>
      <c r="D33" s="341" t="str">
        <f>IF(E33="X",C33,"")</f>
        <v/>
      </c>
      <c r="E33" s="345" t="str">
        <f>IF(SUM(K21:K23)&gt;=F33,IF(SUM(K21:K23)&lt;F34,"X",""),"")</f>
        <v/>
      </c>
      <c r="F33" s="46">
        <v>0.25</v>
      </c>
      <c r="G33" s="111">
        <v>0.499</v>
      </c>
      <c r="H33" s="172"/>
      <c r="I33" s="172"/>
      <c r="J33" s="172"/>
      <c r="K33" s="172"/>
      <c r="L33" s="172"/>
      <c r="M33" s="173"/>
      <c r="N33" s="50"/>
      <c r="O33" s="535" t="str">
        <f>IF(W24&gt;0,SUM(Q33:Q34),"")</f>
        <v/>
      </c>
      <c r="P33" s="186">
        <v>1</v>
      </c>
      <c r="Q33" s="341" t="str">
        <f>IF(R33="X",P33,"")</f>
        <v/>
      </c>
      <c r="R33" s="345" t="str">
        <f>IF(SUM(X21:X23)&gt;=S33,IF(SUM(X21:X23)&lt;S34,"X",""),"")</f>
        <v/>
      </c>
      <c r="S33" s="46">
        <v>0.25</v>
      </c>
      <c r="T33" s="111">
        <v>0.499</v>
      </c>
      <c r="U33" s="172"/>
      <c r="V33" s="172"/>
      <c r="W33" s="172"/>
      <c r="X33" s="172"/>
      <c r="Y33" s="172"/>
      <c r="Z33" s="173"/>
    </row>
    <row r="34" spans="2:26" x14ac:dyDescent="0.3">
      <c r="B34" s="536"/>
      <c r="C34" s="186">
        <v>2</v>
      </c>
      <c r="D34" s="341" t="str">
        <f>IF(E34="X",C34,"")</f>
        <v/>
      </c>
      <c r="E34" s="345" t="str">
        <f>IF(SUM(K21:K23)&gt;=F34,"X","")</f>
        <v/>
      </c>
      <c r="F34" s="46">
        <v>0.5</v>
      </c>
      <c r="G34" s="111">
        <v>1</v>
      </c>
      <c r="H34" s="172"/>
      <c r="I34" s="45"/>
      <c r="J34" s="172"/>
      <c r="K34" s="172"/>
      <c r="L34" s="172"/>
      <c r="M34" s="173"/>
      <c r="N34" s="50"/>
      <c r="O34" s="536"/>
      <c r="P34" s="186">
        <v>2</v>
      </c>
      <c r="Q34" s="341" t="str">
        <f>IF(R34="X",P34,"")</f>
        <v/>
      </c>
      <c r="R34" s="345" t="str">
        <f>IF(SUM(X21:X23)&gt;=S34,"X","")</f>
        <v/>
      </c>
      <c r="S34" s="46">
        <v>0.5</v>
      </c>
      <c r="T34" s="111">
        <v>1</v>
      </c>
      <c r="U34" s="172"/>
      <c r="V34" s="45"/>
      <c r="W34" s="172"/>
      <c r="X34" s="172"/>
      <c r="Y34" s="172"/>
      <c r="Z34" s="173"/>
    </row>
    <row r="35" spans="2:26" x14ac:dyDescent="0.3">
      <c r="N35" s="50"/>
    </row>
    <row r="36" spans="2:26" ht="15" customHeight="1" x14ac:dyDescent="0.3">
      <c r="F36" s="8"/>
      <c r="N36" s="50"/>
      <c r="S36" s="8"/>
    </row>
    <row r="37" spans="2:26" s="8" customFormat="1" ht="15" customHeight="1" x14ac:dyDescent="0.3">
      <c r="B37" s="31"/>
      <c r="C37" s="28"/>
      <c r="D37" s="434" t="s">
        <v>122</v>
      </c>
      <c r="E37" s="434"/>
      <c r="F37" s="434"/>
      <c r="G37" s="434"/>
      <c r="H37" s="434"/>
      <c r="I37" s="434"/>
      <c r="J37" s="434"/>
      <c r="K37" s="434"/>
      <c r="L37" s="434"/>
      <c r="M37" s="434"/>
      <c r="N37" s="51"/>
      <c r="O37" s="31"/>
      <c r="P37" s="28"/>
      <c r="Q37" s="434" t="s">
        <v>122</v>
      </c>
      <c r="R37" s="434"/>
      <c r="S37" s="434"/>
      <c r="T37" s="434"/>
      <c r="U37" s="434"/>
      <c r="V37" s="434"/>
      <c r="W37" s="434"/>
      <c r="X37" s="434"/>
      <c r="Y37" s="434"/>
      <c r="Z37" s="434"/>
    </row>
    <row r="38" spans="2:26" ht="48.75" customHeight="1" x14ac:dyDescent="0.3">
      <c r="D38" s="434"/>
      <c r="E38" s="434"/>
      <c r="F38" s="434"/>
      <c r="G38" s="434"/>
      <c r="H38" s="434"/>
      <c r="I38" s="434"/>
      <c r="J38" s="434"/>
      <c r="K38" s="434"/>
      <c r="L38" s="434"/>
      <c r="M38" s="434"/>
      <c r="N38" s="50"/>
      <c r="Q38" s="434"/>
      <c r="R38" s="434"/>
      <c r="S38" s="434"/>
      <c r="T38" s="434"/>
      <c r="U38" s="434"/>
      <c r="V38" s="434"/>
      <c r="W38" s="434"/>
      <c r="X38" s="434"/>
      <c r="Y38" s="434"/>
      <c r="Z38" s="434"/>
    </row>
    <row r="39" spans="2:26" s="8" customFormat="1" ht="15.6" customHeight="1" x14ac:dyDescent="0.3">
      <c r="B39" s="31"/>
      <c r="C39" s="28"/>
      <c r="D39" s="537"/>
      <c r="E39" s="537"/>
      <c r="F39" s="537"/>
      <c r="G39" s="537"/>
      <c r="H39" s="537"/>
      <c r="I39" s="537"/>
      <c r="J39" s="537"/>
      <c r="K39" s="537"/>
      <c r="L39" s="537"/>
      <c r="M39" s="537"/>
      <c r="N39" s="51"/>
      <c r="O39" s="31"/>
      <c r="P39" s="28"/>
      <c r="Q39" s="537"/>
      <c r="R39" s="537"/>
      <c r="S39" s="537"/>
      <c r="T39" s="537"/>
      <c r="U39" s="537"/>
      <c r="V39" s="537"/>
      <c r="W39" s="537"/>
      <c r="X39" s="537"/>
      <c r="Y39" s="537"/>
      <c r="Z39" s="537"/>
    </row>
    <row r="40" spans="2:26" s="8" customFormat="1" ht="15" customHeight="1" x14ac:dyDescent="0.3">
      <c r="B40" s="31"/>
      <c r="C40" s="28"/>
      <c r="O40" s="31"/>
      <c r="P40" s="28"/>
    </row>
    <row r="41" spans="2:26" s="8" customFormat="1" x14ac:dyDescent="0.3">
      <c r="B41" s="31"/>
      <c r="C41" s="28"/>
      <c r="O41" s="31"/>
      <c r="P41" s="28"/>
    </row>
    <row r="42" spans="2:26" s="8" customFormat="1" x14ac:dyDescent="0.3">
      <c r="B42" s="31"/>
      <c r="C42" s="28"/>
      <c r="O42" s="31"/>
      <c r="P42" s="28"/>
    </row>
    <row r="44" spans="2:26" x14ac:dyDescent="0.3">
      <c r="D44" s="9"/>
      <c r="E44" s="9"/>
      <c r="F44" s="7"/>
      <c r="Q44" s="9"/>
      <c r="R44" s="9"/>
      <c r="S44" s="7"/>
    </row>
  </sheetData>
  <sheetProtection algorithmName="SHA-512" hashValue="MHcOgQLu37mXkeExknKCjq2flSXbzyBqbAv7+9k4VI5QVBuUgziKz8EQgdndb7AFTZjTO7mgIbR29k4ZCQzTCg==" saltValue="RZs5ULhrcnhnCAJ/alDCnw==" spinCount="100000" sheet="1" objects="1" scenarios="1" selectLockedCells="1"/>
  <mergeCells count="48">
    <mergeCell ref="F24:G24"/>
    <mergeCell ref="D39:M39"/>
    <mergeCell ref="D26:M26"/>
    <mergeCell ref="D32:M32"/>
    <mergeCell ref="D28:M28"/>
    <mergeCell ref="D37:M38"/>
    <mergeCell ref="F23:G23"/>
    <mergeCell ref="D2:M2"/>
    <mergeCell ref="D3:M3"/>
    <mergeCell ref="H6:L6"/>
    <mergeCell ref="H8:I8"/>
    <mergeCell ref="D13:M13"/>
    <mergeCell ref="F17:G17"/>
    <mergeCell ref="H17:I17"/>
    <mergeCell ref="J17:K17"/>
    <mergeCell ref="L17:M17"/>
    <mergeCell ref="F18:G18"/>
    <mergeCell ref="F19:G19"/>
    <mergeCell ref="F20:G20"/>
    <mergeCell ref="F21:G21"/>
    <mergeCell ref="F22:G22"/>
    <mergeCell ref="D15:M15"/>
    <mergeCell ref="B29:B30"/>
    <mergeCell ref="B33:B34"/>
    <mergeCell ref="Q2:Z2"/>
    <mergeCell ref="Q3:Z3"/>
    <mergeCell ref="U6:Y6"/>
    <mergeCell ref="U8:V8"/>
    <mergeCell ref="Q13:Z13"/>
    <mergeCell ref="S17:T17"/>
    <mergeCell ref="U17:V17"/>
    <mergeCell ref="W17:X17"/>
    <mergeCell ref="Y17:Z17"/>
    <mergeCell ref="S18:T18"/>
    <mergeCell ref="S19:T19"/>
    <mergeCell ref="S20:T20"/>
    <mergeCell ref="S21:T21"/>
    <mergeCell ref="S22:T22"/>
    <mergeCell ref="Q15:Z15"/>
    <mergeCell ref="Q32:Z32"/>
    <mergeCell ref="O33:O34"/>
    <mergeCell ref="Q39:Z39"/>
    <mergeCell ref="S23:T23"/>
    <mergeCell ref="S24:T24"/>
    <mergeCell ref="Q26:Z26"/>
    <mergeCell ref="Q28:Z28"/>
    <mergeCell ref="O29:O30"/>
    <mergeCell ref="Q37:Z38"/>
  </mergeCells>
  <dataValidations count="1">
    <dataValidation type="whole" operator="greaterThanOrEqual" showInputMessage="1" showErrorMessage="1" sqref="H18:H23 J18:J23 U18:U23 W18:W23" xr:uid="{00000000-0002-0000-0500-000000000000}">
      <formula1>0</formula1>
    </dataValidation>
  </dataValidations>
  <pageMargins left="0.7" right="0.7" top="0.75" bottom="0.75" header="0.3" footer="0.3"/>
  <pageSetup scale="71" orientation="portrait" r:id="rId1"/>
  <headerFooter>
    <oddFooter>&amp;CTab: &amp;A&amp;RPrint Date: &amp;D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83</vt:i4>
      </vt:variant>
    </vt:vector>
  </HeadingPairs>
  <TitlesOfParts>
    <vt:vector size="114" baseType="lpstr">
      <vt:lpstr>Change Log</vt:lpstr>
      <vt:lpstr>Instructions</vt:lpstr>
      <vt:lpstr>Summary</vt:lpstr>
      <vt:lpstr>Scoring Checklist</vt:lpstr>
      <vt:lpstr>EUA Restrictions</vt:lpstr>
      <vt:lpstr>Notes</vt:lpstr>
      <vt:lpstr>22A1</vt:lpstr>
      <vt:lpstr>22A2</vt:lpstr>
      <vt:lpstr>22A3</vt:lpstr>
      <vt:lpstr>22A4</vt:lpstr>
      <vt:lpstr>22B1</vt:lpstr>
      <vt:lpstr>22B2</vt:lpstr>
      <vt:lpstr>22C1</vt:lpstr>
      <vt:lpstr>22C2a</vt:lpstr>
      <vt:lpstr>22C2b</vt:lpstr>
      <vt:lpstr>22C2c</vt:lpstr>
      <vt:lpstr>22C3</vt:lpstr>
      <vt:lpstr>22C4</vt:lpstr>
      <vt:lpstr>22C5</vt:lpstr>
      <vt:lpstr>22D1</vt:lpstr>
      <vt:lpstr>22D2</vt:lpstr>
      <vt:lpstr>22D3</vt:lpstr>
      <vt:lpstr>22E1</vt:lpstr>
      <vt:lpstr>22E2</vt:lpstr>
      <vt:lpstr>22E3</vt:lpstr>
      <vt:lpstr>22F1</vt:lpstr>
      <vt:lpstr>22F2</vt:lpstr>
      <vt:lpstr>22F3</vt:lpstr>
      <vt:lpstr>Tiebreakers</vt:lpstr>
      <vt:lpstr>20B2 - Rehab</vt:lpstr>
      <vt:lpstr>20F2</vt:lpstr>
      <vt:lpstr>'20B2 - Rehab'!Applicant</vt:lpstr>
      <vt:lpstr>'20F2'!Applicant</vt:lpstr>
      <vt:lpstr>'22A1'!Applicant</vt:lpstr>
      <vt:lpstr>'22A2'!Applicant</vt:lpstr>
      <vt:lpstr>'22A3'!Applicant</vt:lpstr>
      <vt:lpstr>'22A4'!Applicant</vt:lpstr>
      <vt:lpstr>'22B1'!Applicant</vt:lpstr>
      <vt:lpstr>'22B2'!Applicant</vt:lpstr>
      <vt:lpstr>'22C1'!Applicant</vt:lpstr>
      <vt:lpstr>'22C2a'!Applicant</vt:lpstr>
      <vt:lpstr>'22C2c'!Applicant</vt:lpstr>
      <vt:lpstr>'22C3'!Applicant</vt:lpstr>
      <vt:lpstr>'22C4'!Applicant</vt:lpstr>
      <vt:lpstr>'22C5'!Applicant</vt:lpstr>
      <vt:lpstr>'22D1'!Applicant</vt:lpstr>
      <vt:lpstr>'22D2'!Applicant</vt:lpstr>
      <vt:lpstr>'22D3'!Applicant</vt:lpstr>
      <vt:lpstr>'22E1'!Applicant</vt:lpstr>
      <vt:lpstr>'22E2'!Applicant</vt:lpstr>
      <vt:lpstr>'22E3'!Applicant</vt:lpstr>
      <vt:lpstr>'22F1'!Applicant</vt:lpstr>
      <vt:lpstr>'22F2'!Applicant</vt:lpstr>
      <vt:lpstr>'22F3'!Applicant</vt:lpstr>
      <vt:lpstr>Notes!Applicant</vt:lpstr>
      <vt:lpstr>'Scoring Checklist'!Applicant</vt:lpstr>
      <vt:lpstr>Summary!Applicant</vt:lpstr>
      <vt:lpstr>'20B2 - Rehab'!Print_Area</vt:lpstr>
      <vt:lpstr>'20F2'!Print_Area</vt:lpstr>
      <vt:lpstr>'22A1'!Print_Area</vt:lpstr>
      <vt:lpstr>'22A2'!Print_Area</vt:lpstr>
      <vt:lpstr>'22A3'!Print_Area</vt:lpstr>
      <vt:lpstr>'22A4'!Print_Area</vt:lpstr>
      <vt:lpstr>'22B1'!Print_Area</vt:lpstr>
      <vt:lpstr>'22B2'!Print_Area</vt:lpstr>
      <vt:lpstr>'22C1'!Print_Area</vt:lpstr>
      <vt:lpstr>'22C2a'!Print_Area</vt:lpstr>
      <vt:lpstr>'22C2b'!Print_Area</vt:lpstr>
      <vt:lpstr>'22C2c'!Print_Area</vt:lpstr>
      <vt:lpstr>'22C3'!Print_Area</vt:lpstr>
      <vt:lpstr>'22C4'!Print_Area</vt:lpstr>
      <vt:lpstr>'22C5'!Print_Area</vt:lpstr>
      <vt:lpstr>'22D1'!Print_Area</vt:lpstr>
      <vt:lpstr>'22D2'!Print_Area</vt:lpstr>
      <vt:lpstr>'22D3'!Print_Area</vt:lpstr>
      <vt:lpstr>'22E1'!Print_Area</vt:lpstr>
      <vt:lpstr>'22E2'!Print_Area</vt:lpstr>
      <vt:lpstr>'22E3'!Print_Area</vt:lpstr>
      <vt:lpstr>'22F1'!Print_Area</vt:lpstr>
      <vt:lpstr>'22F2'!Print_Area</vt:lpstr>
      <vt:lpstr>'22F3'!Print_Area</vt:lpstr>
      <vt:lpstr>'EUA Restrictions'!Print_Area</vt:lpstr>
      <vt:lpstr>Instructions!Print_Area</vt:lpstr>
      <vt:lpstr>Notes!Print_Area</vt:lpstr>
      <vt:lpstr>'Scoring Checklist'!Print_Area</vt:lpstr>
      <vt:lpstr>Summary!Print_Area</vt:lpstr>
      <vt:lpstr>Tiebreakers!Print_Area</vt:lpstr>
      <vt:lpstr>'20B2 - Rehab'!Underwriting</vt:lpstr>
      <vt:lpstr>'20F2'!Underwriting</vt:lpstr>
      <vt:lpstr>'22A1'!Underwriting</vt:lpstr>
      <vt:lpstr>'22A2'!Underwriting</vt:lpstr>
      <vt:lpstr>'22A3'!Underwriting</vt:lpstr>
      <vt:lpstr>'22A4'!Underwriting</vt:lpstr>
      <vt:lpstr>'22B1'!Underwriting</vt:lpstr>
      <vt:lpstr>'22B2'!Underwriting</vt:lpstr>
      <vt:lpstr>'22C1'!Underwriting</vt:lpstr>
      <vt:lpstr>'22C2a'!Underwriting</vt:lpstr>
      <vt:lpstr>'22C2c'!Underwriting</vt:lpstr>
      <vt:lpstr>'22C3'!Underwriting</vt:lpstr>
      <vt:lpstr>'22C4'!Underwriting</vt:lpstr>
      <vt:lpstr>'22C5'!Underwriting</vt:lpstr>
      <vt:lpstr>'22D1'!Underwriting</vt:lpstr>
      <vt:lpstr>'22D2'!Underwriting</vt:lpstr>
      <vt:lpstr>'22D3'!Underwriting</vt:lpstr>
      <vt:lpstr>'22E1'!Underwriting</vt:lpstr>
      <vt:lpstr>'22E2'!Underwriting</vt:lpstr>
      <vt:lpstr>'22E3'!Underwriting</vt:lpstr>
      <vt:lpstr>'22F1'!Underwriting</vt:lpstr>
      <vt:lpstr>'22F2'!Underwriting</vt:lpstr>
      <vt:lpstr>'22F3'!Underwriting</vt:lpstr>
      <vt:lpstr>'EUA Restrictions'!Underwriting</vt:lpstr>
      <vt:lpstr>Notes!Underwriting</vt:lpstr>
      <vt:lpstr>Summary!Underwriting</vt:lpstr>
      <vt:lpstr>Tiebreakers!Underwriting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2023-01-23T15:31:02Z</dcterms:modified>
</cp:coreProperties>
</file>